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1340" windowHeight="6795"/>
  </bookViews>
  <sheets>
    <sheet name="Input" sheetId="1" r:id="rId1"/>
    <sheet name="Calcs" sheetId="2" r:id="rId2"/>
    <sheet name="Dir Input" sheetId="3" r:id="rId3"/>
    <sheet name="Dir Print" sheetId="4" r:id="rId4"/>
    <sheet name="Opt Calcs" sheetId="5" state="hidden" r:id="rId5"/>
    <sheet name="Std Calcs" sheetId="6" state="hidden" r:id="rId6"/>
    <sheet name="Tables" sheetId="7" state="hidden" r:id="rId7"/>
    <sheet name="Conduit" sheetId="8" state="hidden" r:id="rId8"/>
    <sheet name="Short" sheetId="9" state="hidden" r:id="rId9"/>
    <sheet name="S-Sec Cable" sheetId="10" state="hidden" r:id="rId10"/>
    <sheet name="Export" sheetId="11" state="hidden" r:id="rId11"/>
  </sheets>
  <definedNames>
    <definedName name="ALL">#REF!</definedName>
    <definedName name="DIRECTORY_TALL">#REF!</definedName>
    <definedName name="DIRECTORY_WIDE">#REF!</definedName>
    <definedName name="ENTER_INFO">#REF!</definedName>
    <definedName name="ERROR_CHECK">#REF!</definedName>
    <definedName name="LOAD_CALCS">#REF!</definedName>
    <definedName name="MINIMUM">"NUTRAL_SIZE"</definedName>
    <definedName name="PANEL_TALL">#REF!</definedName>
    <definedName name="PANEL_WIDE">#REF!</definedName>
    <definedName name="_xlnm.Print_Area" localSheetId="1">Calcs!$A$1:$N$86</definedName>
    <definedName name="_xlnm.Print_Area" localSheetId="7">Conduit!#REF!</definedName>
    <definedName name="_xlnm.Print_Area" localSheetId="2">'Dir Input'!$B$5:$F$28</definedName>
    <definedName name="_xlnm.Print_Area" localSheetId="3">'Dir Print'!$B$2:$F$25</definedName>
    <definedName name="_xlnm.Print_Area" localSheetId="0">Input!$B$50:$H$78</definedName>
    <definedName name="_xlnm.Print_Area" localSheetId="4">'Opt Calcs'!$A$1:$N$86</definedName>
    <definedName name="_xlnm.Print_Area" localSheetId="8">Short!$C$19:$P$35</definedName>
    <definedName name="_xlnm.Print_Area" localSheetId="5">'Std Calcs'!$A$1:$N$86</definedName>
  </definedNames>
  <calcPr calcId="124519"/>
</workbook>
</file>

<file path=xl/calcChain.xml><?xml version="1.0" encoding="utf-8"?>
<calcChain xmlns="http://schemas.openxmlformats.org/spreadsheetml/2006/main">
  <c r="G2" i="2"/>
  <c r="L2"/>
  <c r="S2"/>
  <c r="B2" s="1"/>
  <c r="L3"/>
  <c r="P3"/>
  <c r="AB3"/>
  <c r="AC3"/>
  <c r="AE3"/>
  <c r="BJ3"/>
  <c r="BR3" s="1"/>
  <c r="BR16" s="1"/>
  <c r="BL3"/>
  <c r="BL16" s="1"/>
  <c r="BP3"/>
  <c r="G4"/>
  <c r="AA4"/>
  <c r="AB4"/>
  <c r="AC4"/>
  <c r="AE4"/>
  <c r="BH4"/>
  <c r="BJ4"/>
  <c r="BL4"/>
  <c r="BP4"/>
  <c r="BP5" s="1"/>
  <c r="BP6" s="1"/>
  <c r="BP7" s="1"/>
  <c r="BP8" s="1"/>
  <c r="AA5"/>
  <c r="AA6" s="1"/>
  <c r="AA7" s="1"/>
  <c r="AA8" s="1"/>
  <c r="AB5"/>
  <c r="AC5"/>
  <c r="AI5" s="1"/>
  <c r="AE5"/>
  <c r="AK5"/>
  <c r="BH5"/>
  <c r="BH18" s="1"/>
  <c r="BJ5"/>
  <c r="BT19" s="1"/>
  <c r="BL5"/>
  <c r="BL18" s="1"/>
  <c r="Q6"/>
  <c r="U6"/>
  <c r="AB6"/>
  <c r="AC6"/>
  <c r="AK6" s="1"/>
  <c r="AE6"/>
  <c r="AU6"/>
  <c r="BH6"/>
  <c r="BJ6"/>
  <c r="BJ19" s="1"/>
  <c r="BL6"/>
  <c r="BR6"/>
  <c r="BR19" s="1"/>
  <c r="Q7"/>
  <c r="U7"/>
  <c r="AB7"/>
  <c r="AC7"/>
  <c r="AK7" s="1"/>
  <c r="AE7"/>
  <c r="AU7"/>
  <c r="BH7"/>
  <c r="BJ7"/>
  <c r="BT21" s="1"/>
  <c r="BL7"/>
  <c r="BR7"/>
  <c r="BR20" s="1"/>
  <c r="Q8"/>
  <c r="U8"/>
  <c r="AB8"/>
  <c r="AC8"/>
  <c r="AK8" s="1"/>
  <c r="AE8"/>
  <c r="AU8"/>
  <c r="BH8"/>
  <c r="BJ8"/>
  <c r="BL8"/>
  <c r="B9"/>
  <c r="Q9"/>
  <c r="S9"/>
  <c r="U9" s="1"/>
  <c r="AA9"/>
  <c r="AA10" s="1"/>
  <c r="AA11" s="1"/>
  <c r="AA12" s="1"/>
  <c r="AA13" s="1"/>
  <c r="AA14" s="1"/>
  <c r="AA15" s="1"/>
  <c r="AA16" s="1"/>
  <c r="AA17" s="1"/>
  <c r="AB9"/>
  <c r="AC9"/>
  <c r="AI9" s="1"/>
  <c r="AE9"/>
  <c r="BH9"/>
  <c r="BH22" s="1"/>
  <c r="BJ9"/>
  <c r="BR9" s="1"/>
  <c r="BR22" s="1"/>
  <c r="BL9"/>
  <c r="BL22" s="1"/>
  <c r="BP9"/>
  <c r="B10"/>
  <c r="Q10"/>
  <c r="S10"/>
  <c r="U10"/>
  <c r="AB10"/>
  <c r="AC10"/>
  <c r="AK10" s="1"/>
  <c r="AE10"/>
  <c r="AI10"/>
  <c r="BH10"/>
  <c r="BH23" s="1"/>
  <c r="BJ10"/>
  <c r="BL10"/>
  <c r="BL23" s="1"/>
  <c r="BP10"/>
  <c r="BR10"/>
  <c r="Q11"/>
  <c r="U11" s="1"/>
  <c r="S11"/>
  <c r="AB11"/>
  <c r="AC11"/>
  <c r="AK11" s="1"/>
  <c r="AE11"/>
  <c r="AX11"/>
  <c r="AX12" s="1"/>
  <c r="BH11"/>
  <c r="BH24" s="1"/>
  <c r="BJ11"/>
  <c r="BJ24" s="1"/>
  <c r="BL11"/>
  <c r="BP11"/>
  <c r="BP12" s="1"/>
  <c r="B12"/>
  <c r="AB12"/>
  <c r="AC12"/>
  <c r="AI12" s="1"/>
  <c r="AE12"/>
  <c r="BH12"/>
  <c r="BJ12"/>
  <c r="BR12" s="1"/>
  <c r="BR25" s="1"/>
  <c r="BL12"/>
  <c r="M13"/>
  <c r="AB13"/>
  <c r="AC13"/>
  <c r="AK13" s="1"/>
  <c r="AE13"/>
  <c r="AI13"/>
  <c r="BH13"/>
  <c r="BJ13"/>
  <c r="BL13"/>
  <c r="BL26" s="1"/>
  <c r="BP13"/>
  <c r="BR13"/>
  <c r="E14"/>
  <c r="AB14"/>
  <c r="AC14"/>
  <c r="AE14"/>
  <c r="AV14"/>
  <c r="M15"/>
  <c r="AB15"/>
  <c r="AC15"/>
  <c r="AI15" s="1"/>
  <c r="AE15"/>
  <c r="G16"/>
  <c r="AB16"/>
  <c r="AC16"/>
  <c r="AE16"/>
  <c r="BH16"/>
  <c r="BT16"/>
  <c r="G17"/>
  <c r="AB17"/>
  <c r="AC17"/>
  <c r="AI17" s="1"/>
  <c r="AE17"/>
  <c r="AK17"/>
  <c r="BH17"/>
  <c r="BJ17"/>
  <c r="E18"/>
  <c r="AA18"/>
  <c r="AA19" s="1"/>
  <c r="AA20" s="1"/>
  <c r="AA21" s="1"/>
  <c r="AA22" s="1"/>
  <c r="AA23" s="1"/>
  <c r="AA24" s="1"/>
  <c r="AA25" s="1"/>
  <c r="AA26" s="1"/>
  <c r="AA27" s="1"/>
  <c r="AA28" s="1"/>
  <c r="AA29" s="1"/>
  <c r="AA30" s="1"/>
  <c r="AA31" s="1"/>
  <c r="AA32" s="1"/>
  <c r="AA33" s="1"/>
  <c r="AA34" s="1"/>
  <c r="AA35" s="1"/>
  <c r="AA36" s="1"/>
  <c r="AB18"/>
  <c r="AC18"/>
  <c r="AI18" s="1"/>
  <c r="AE18"/>
  <c r="BA18"/>
  <c r="BJ18"/>
  <c r="AB19"/>
  <c r="AC19"/>
  <c r="AI19" s="1"/>
  <c r="AE19"/>
  <c r="AK19"/>
  <c r="BH19"/>
  <c r="BL19"/>
  <c r="E20"/>
  <c r="AB20"/>
  <c r="AC20"/>
  <c r="AI20" s="1"/>
  <c r="AE20"/>
  <c r="BH20"/>
  <c r="BL20"/>
  <c r="E21"/>
  <c r="AB21"/>
  <c r="AC21"/>
  <c r="AK21" s="1"/>
  <c r="AE21"/>
  <c r="AI21"/>
  <c r="BH21"/>
  <c r="BL21"/>
  <c r="G22"/>
  <c r="AB22"/>
  <c r="AC22"/>
  <c r="AI22" s="1"/>
  <c r="AE22"/>
  <c r="AK22"/>
  <c r="G23"/>
  <c r="AB23"/>
  <c r="AC23"/>
  <c r="AE23"/>
  <c r="AI23"/>
  <c r="AK23"/>
  <c r="BJ23"/>
  <c r="BR23"/>
  <c r="E24"/>
  <c r="AB24"/>
  <c r="AC24"/>
  <c r="AE24"/>
  <c r="AU24"/>
  <c r="AT29" s="1"/>
  <c r="AT30" s="1"/>
  <c r="BL24"/>
  <c r="BT24"/>
  <c r="AB25"/>
  <c r="AC25"/>
  <c r="AI25" s="1"/>
  <c r="AE25"/>
  <c r="AU25"/>
  <c r="BH25"/>
  <c r="BL25"/>
  <c r="B26"/>
  <c r="AB26"/>
  <c r="AC26"/>
  <c r="AE26"/>
  <c r="AU26"/>
  <c r="AX29" s="1"/>
  <c r="AX30" s="1"/>
  <c r="BH26"/>
  <c r="BJ26"/>
  <c r="BR26"/>
  <c r="G27"/>
  <c r="AB27"/>
  <c r="AC27"/>
  <c r="AE27"/>
  <c r="AF27"/>
  <c r="G28"/>
  <c r="AB28"/>
  <c r="AC28"/>
  <c r="AE28"/>
  <c r="AI28"/>
  <c r="AK28"/>
  <c r="M29"/>
  <c r="AB29"/>
  <c r="AC29"/>
  <c r="AI29" s="1"/>
  <c r="AE29"/>
  <c r="AU29"/>
  <c r="AU30" s="1"/>
  <c r="AW29"/>
  <c r="AB30"/>
  <c r="AC30"/>
  <c r="AE30"/>
  <c r="AI30"/>
  <c r="AK30"/>
  <c r="AB31"/>
  <c r="AC31"/>
  <c r="AK31" s="1"/>
  <c r="AE31"/>
  <c r="AI31"/>
  <c r="G32"/>
  <c r="AB32"/>
  <c r="AC32"/>
  <c r="AI32" s="1"/>
  <c r="AE32"/>
  <c r="AK32"/>
  <c r="M33"/>
  <c r="AB33"/>
  <c r="AC33"/>
  <c r="AK33" s="1"/>
  <c r="AE33"/>
  <c r="BA33"/>
  <c r="AB34"/>
  <c r="AC34"/>
  <c r="AE34"/>
  <c r="AI34"/>
  <c r="AK34"/>
  <c r="AB35"/>
  <c r="AC35"/>
  <c r="AE35"/>
  <c r="AX35"/>
  <c r="C56" i="7" s="1"/>
  <c r="M36" i="2"/>
  <c r="AB36"/>
  <c r="AC36"/>
  <c r="AK36" s="1"/>
  <c r="AE36"/>
  <c r="AI36"/>
  <c r="G37"/>
  <c r="M38"/>
  <c r="E39"/>
  <c r="E40"/>
  <c r="M40"/>
  <c r="M42"/>
  <c r="Q44"/>
  <c r="M46"/>
  <c r="Q47"/>
  <c r="S48" s="1"/>
  <c r="Q48"/>
  <c r="G49"/>
  <c r="Q49"/>
  <c r="Q51"/>
  <c r="P52"/>
  <c r="Q52"/>
  <c r="Q53"/>
  <c r="P56"/>
  <c r="R56" s="1"/>
  <c r="P57"/>
  <c r="P58"/>
  <c r="R58" s="1"/>
  <c r="P59"/>
  <c r="R59" s="1"/>
  <c r="P60"/>
  <c r="R60" s="1"/>
  <c r="H61"/>
  <c r="P61"/>
  <c r="R61"/>
  <c r="P65"/>
  <c r="P68"/>
  <c r="B76"/>
  <c r="E77"/>
  <c r="E78"/>
  <c r="E79"/>
  <c r="E80"/>
  <c r="E81"/>
  <c r="AB92" s="1"/>
  <c r="E82"/>
  <c r="AG84"/>
  <c r="AH84"/>
  <c r="AJ84" s="1"/>
  <c r="AK84"/>
  <c r="B85"/>
  <c r="AG85"/>
  <c r="AG86"/>
  <c r="AK86" s="1"/>
  <c r="AR95" s="1"/>
  <c r="AP86"/>
  <c r="AG87"/>
  <c r="AH87" s="1"/>
  <c r="AG88"/>
  <c r="AH88" s="1"/>
  <c r="AG89"/>
  <c r="AH89" s="1"/>
  <c r="AP89"/>
  <c r="AH92"/>
  <c r="Y102"/>
  <c r="AG102"/>
  <c r="Y103"/>
  <c r="AB104"/>
  <c r="AG104"/>
  <c r="AG109"/>
  <c r="AH113"/>
  <c r="AH114"/>
  <c r="AJ114"/>
  <c r="F1" i="8"/>
  <c r="AK3"/>
  <c r="AK4"/>
  <c r="AK5"/>
  <c r="G6"/>
  <c r="O17" s="1"/>
  <c r="AB6"/>
  <c r="AK6"/>
  <c r="C7"/>
  <c r="G7"/>
  <c r="K7"/>
  <c r="U7"/>
  <c r="AK7"/>
  <c r="AK8"/>
  <c r="C9"/>
  <c r="AK9"/>
  <c r="D10"/>
  <c r="H10"/>
  <c r="H12" s="1"/>
  <c r="AK10"/>
  <c r="H11"/>
  <c r="AK11"/>
  <c r="C12"/>
  <c r="C14"/>
  <c r="Z14"/>
  <c r="Z15"/>
  <c r="Z16"/>
  <c r="N17"/>
  <c r="P17"/>
  <c r="Z17"/>
  <c r="Z18"/>
  <c r="E19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Q19"/>
  <c r="Z19"/>
  <c r="K20"/>
  <c r="M20"/>
  <c r="Q20"/>
  <c r="Q21" s="1"/>
  <c r="Z20"/>
  <c r="Z21"/>
  <c r="Q22"/>
  <c r="Q23" s="1"/>
  <c r="Q24" s="1"/>
  <c r="Q25" s="1"/>
  <c r="Q26" s="1"/>
  <c r="Q27" s="1"/>
  <c r="Q28" s="1"/>
  <c r="Z22"/>
  <c r="Z23"/>
  <c r="Z24"/>
  <c r="Z25"/>
  <c r="Z26"/>
  <c r="Z27"/>
  <c r="Z28"/>
  <c r="Q29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Z29"/>
  <c r="Z30"/>
  <c r="Z31"/>
  <c r="Z32"/>
  <c r="Z33"/>
  <c r="Z34"/>
  <c r="E38"/>
  <c r="E39" s="1"/>
  <c r="E40" s="1"/>
  <c r="AE39"/>
  <c r="E41"/>
  <c r="E42" s="1"/>
  <c r="E43"/>
  <c r="E44" s="1"/>
  <c r="E45"/>
  <c r="E46" s="1"/>
  <c r="E47" s="1"/>
  <c r="E48" s="1"/>
  <c r="E49" s="1"/>
  <c r="AA46"/>
  <c r="AB55" s="1"/>
  <c r="AA47"/>
  <c r="AA50"/>
  <c r="AB50" s="1"/>
  <c r="AB51" s="1"/>
  <c r="AB54"/>
  <c r="AO55"/>
  <c r="AP74" s="1"/>
  <c r="AO56"/>
  <c r="AB58"/>
  <c r="G60"/>
  <c r="AB61"/>
  <c r="AB62"/>
  <c r="AP63"/>
  <c r="AB65"/>
  <c r="AB66"/>
  <c r="AN66"/>
  <c r="AO66"/>
  <c r="AB67"/>
  <c r="F68"/>
  <c r="F69"/>
  <c r="AB69"/>
  <c r="F70"/>
  <c r="AB70"/>
  <c r="F71"/>
  <c r="F72"/>
  <c r="F73"/>
  <c r="F74"/>
  <c r="F75"/>
  <c r="F76"/>
  <c r="AC76"/>
  <c r="AF76" s="1"/>
  <c r="AB87" s="1"/>
  <c r="AD78"/>
  <c r="AF80"/>
  <c r="AB89" s="1"/>
  <c r="AQ80"/>
  <c r="AR80"/>
  <c r="AF82"/>
  <c r="AB90" s="1"/>
  <c r="AK84"/>
  <c r="AF86"/>
  <c r="AF87"/>
  <c r="AB88"/>
  <c r="AG88" s="1"/>
  <c r="AD88"/>
  <c r="AF88"/>
  <c r="AF89"/>
  <c r="AO90"/>
  <c r="AP90"/>
  <c r="AU92" s="1"/>
  <c r="AQ90"/>
  <c r="AV92" s="1"/>
  <c r="AW92" s="1"/>
  <c r="AR90"/>
  <c r="AQ92"/>
  <c r="AV96" s="1"/>
  <c r="AR92"/>
  <c r="AW96" s="1"/>
  <c r="AT92"/>
  <c r="AY95"/>
  <c r="AZ95" s="1"/>
  <c r="BA95" s="1"/>
  <c r="BB95" s="1"/>
  <c r="AG96"/>
  <c r="AS98"/>
  <c r="AT98"/>
  <c r="AU98"/>
  <c r="AV98"/>
  <c r="AW98"/>
  <c r="AX98"/>
  <c r="D99"/>
  <c r="AS99"/>
  <c r="D100"/>
  <c r="AF100"/>
  <c r="AZ101"/>
  <c r="D102"/>
  <c r="C103"/>
  <c r="D103"/>
  <c r="C104"/>
  <c r="Z106"/>
  <c r="Z109"/>
  <c r="AD105" s="1"/>
  <c r="K8" i="3"/>
  <c r="J9"/>
  <c r="K9"/>
  <c r="J10"/>
  <c r="E2" i="4"/>
  <c r="C5"/>
  <c r="E5"/>
  <c r="I5"/>
  <c r="K5" s="1"/>
  <c r="C6"/>
  <c r="E6"/>
  <c r="J6"/>
  <c r="C7"/>
  <c r="E7"/>
  <c r="J7"/>
  <c r="C8"/>
  <c r="E8"/>
  <c r="J8"/>
  <c r="C9"/>
  <c r="E9"/>
  <c r="J9"/>
  <c r="C10"/>
  <c r="E10"/>
  <c r="J10"/>
  <c r="C11"/>
  <c r="E11"/>
  <c r="J11"/>
  <c r="C12"/>
  <c r="E12"/>
  <c r="J12"/>
  <c r="C13"/>
  <c r="E13"/>
  <c r="J13"/>
  <c r="C14"/>
  <c r="E14"/>
  <c r="J14"/>
  <c r="C15"/>
  <c r="E15"/>
  <c r="J15"/>
  <c r="C16"/>
  <c r="E16"/>
  <c r="J16"/>
  <c r="C17"/>
  <c r="E17"/>
  <c r="J17"/>
  <c r="C18"/>
  <c r="E18"/>
  <c r="J18"/>
  <c r="C19"/>
  <c r="E19"/>
  <c r="J19"/>
  <c r="C20"/>
  <c r="E20"/>
  <c r="J20"/>
  <c r="C21"/>
  <c r="E21"/>
  <c r="J21"/>
  <c r="C22"/>
  <c r="E22"/>
  <c r="J22"/>
  <c r="C23"/>
  <c r="E23"/>
  <c r="J23"/>
  <c r="C24"/>
  <c r="E24"/>
  <c r="J24"/>
  <c r="C25"/>
  <c r="E25"/>
  <c r="J25"/>
  <c r="J3" i="1"/>
  <c r="G50" i="5" s="1"/>
  <c r="J4" i="1"/>
  <c r="U5" i="8" s="1"/>
  <c r="Q4" i="1"/>
  <c r="AG35" i="2" s="1"/>
  <c r="J5" i="1"/>
  <c r="Q5"/>
  <c r="AG10" i="6" s="1"/>
  <c r="J6" i="1"/>
  <c r="R112" i="2" s="1"/>
  <c r="Q6" i="1"/>
  <c r="R6"/>
  <c r="O9" s="1"/>
  <c r="E7"/>
  <c r="C67" s="1"/>
  <c r="J7"/>
  <c r="L8"/>
  <c r="O8"/>
  <c r="Q8"/>
  <c r="L10"/>
  <c r="O10"/>
  <c r="O11"/>
  <c r="L11" s="1"/>
  <c r="L12"/>
  <c r="O12"/>
  <c r="O15"/>
  <c r="P15"/>
  <c r="O16"/>
  <c r="P16"/>
  <c r="Q16"/>
  <c r="S16"/>
  <c r="F17"/>
  <c r="J17"/>
  <c r="O17"/>
  <c r="J18"/>
  <c r="O18"/>
  <c r="J19"/>
  <c r="O19"/>
  <c r="O20"/>
  <c r="O21"/>
  <c r="F22" s="1"/>
  <c r="C22"/>
  <c r="J22"/>
  <c r="O22"/>
  <c r="F23" s="1"/>
  <c r="C23"/>
  <c r="O23"/>
  <c r="F24" s="1"/>
  <c r="C24"/>
  <c r="P30"/>
  <c r="H31" s="1"/>
  <c r="Q30"/>
  <c r="P31"/>
  <c r="Q31"/>
  <c r="R31"/>
  <c r="H32"/>
  <c r="O32"/>
  <c r="P32"/>
  <c r="Q32"/>
  <c r="H33"/>
  <c r="O33"/>
  <c r="P36"/>
  <c r="O36" s="1"/>
  <c r="Q36"/>
  <c r="H37"/>
  <c r="P37"/>
  <c r="Q37"/>
  <c r="H38" s="1"/>
  <c r="P38"/>
  <c r="O38" s="1"/>
  <c r="Q38"/>
  <c r="H39"/>
  <c r="P39"/>
  <c r="Q39"/>
  <c r="H40" s="1"/>
  <c r="P40"/>
  <c r="O40" s="1"/>
  <c r="Q40"/>
  <c r="H41"/>
  <c r="P41"/>
  <c r="Q41"/>
  <c r="H42" s="1"/>
  <c r="P42"/>
  <c r="O42" s="1"/>
  <c r="Q42"/>
  <c r="H43"/>
  <c r="P43"/>
  <c r="Q43"/>
  <c r="H44" s="1"/>
  <c r="P44"/>
  <c r="O44" s="1"/>
  <c r="Q44"/>
  <c r="H45"/>
  <c r="P45"/>
  <c r="Q45"/>
  <c r="H46" s="1"/>
  <c r="O51"/>
  <c r="L51" s="1"/>
  <c r="O54"/>
  <c r="L54" s="1"/>
  <c r="O58"/>
  <c r="L58" s="1"/>
  <c r="O64"/>
  <c r="L64" s="1"/>
  <c r="L71"/>
  <c r="O71"/>
  <c r="L75"/>
  <c r="O75"/>
  <c r="P81"/>
  <c r="Q81"/>
  <c r="P82"/>
  <c r="Q82"/>
  <c r="R82" s="1"/>
  <c r="O83"/>
  <c r="P83"/>
  <c r="Q83"/>
  <c r="C84"/>
  <c r="C85" s="1"/>
  <c r="C86" s="1"/>
  <c r="C87" s="1"/>
  <c r="C88" s="1"/>
  <c r="C89" s="1"/>
  <c r="C90" s="1"/>
  <c r="C91" s="1"/>
  <c r="C92" s="1"/>
  <c r="C93" s="1"/>
  <c r="C94" s="1"/>
  <c r="C95" s="1"/>
  <c r="C96" s="1"/>
  <c r="C97" s="1"/>
  <c r="C98" s="1"/>
  <c r="C99" s="1"/>
  <c r="C100" s="1"/>
  <c r="C101" s="1"/>
  <c r="C102" s="1"/>
  <c r="C103" s="1"/>
  <c r="C104" s="1"/>
  <c r="C105" s="1"/>
  <c r="P84"/>
  <c r="Q84"/>
  <c r="R84"/>
  <c r="O85"/>
  <c r="P85"/>
  <c r="Q85"/>
  <c r="P86"/>
  <c r="Q86"/>
  <c r="R86"/>
  <c r="O87"/>
  <c r="P87"/>
  <c r="Q87"/>
  <c r="P88"/>
  <c r="Q88"/>
  <c r="R88"/>
  <c r="O89"/>
  <c r="P89"/>
  <c r="Q89"/>
  <c r="P90"/>
  <c r="Q90"/>
  <c r="R90"/>
  <c r="O91"/>
  <c r="P91"/>
  <c r="Q91"/>
  <c r="P92"/>
  <c r="Q92"/>
  <c r="R92"/>
  <c r="O93"/>
  <c r="P93"/>
  <c r="Q93"/>
  <c r="P94"/>
  <c r="Q94"/>
  <c r="R94"/>
  <c r="O95"/>
  <c r="P95"/>
  <c r="Q95"/>
  <c r="P96"/>
  <c r="Q96"/>
  <c r="R96"/>
  <c r="O97"/>
  <c r="P97"/>
  <c r="Q97"/>
  <c r="P98"/>
  <c r="Q98"/>
  <c r="R98"/>
  <c r="O99"/>
  <c r="P99"/>
  <c r="Q99"/>
  <c r="P100"/>
  <c r="Q100"/>
  <c r="R100"/>
  <c r="O101"/>
  <c r="P101"/>
  <c r="Q101"/>
  <c r="P102"/>
  <c r="Q102"/>
  <c r="R102"/>
  <c r="O103"/>
  <c r="P103"/>
  <c r="Q103"/>
  <c r="P104"/>
  <c r="Q104"/>
  <c r="R104"/>
  <c r="O105"/>
  <c r="H108"/>
  <c r="P108"/>
  <c r="P109"/>
  <c r="Q109"/>
  <c r="R109"/>
  <c r="J110" s="1"/>
  <c r="S109"/>
  <c r="P110"/>
  <c r="Q110"/>
  <c r="R110"/>
  <c r="S110"/>
  <c r="C111"/>
  <c r="C112" s="1"/>
  <c r="C113" s="1"/>
  <c r="C114" s="1"/>
  <c r="C115" s="1"/>
  <c r="C116" s="1"/>
  <c r="C117" s="1"/>
  <c r="C118" s="1"/>
  <c r="P111"/>
  <c r="Q111"/>
  <c r="R111" s="1"/>
  <c r="S111"/>
  <c r="P112"/>
  <c r="Q112"/>
  <c r="S112"/>
  <c r="P113"/>
  <c r="Q113"/>
  <c r="R113"/>
  <c r="O114" s="1"/>
  <c r="S113"/>
  <c r="P114"/>
  <c r="Q114"/>
  <c r="R114"/>
  <c r="S114"/>
  <c r="P115"/>
  <c r="Q115"/>
  <c r="R115" s="1"/>
  <c r="S115"/>
  <c r="P116"/>
  <c r="Q116"/>
  <c r="S116"/>
  <c r="P117"/>
  <c r="Q117"/>
  <c r="R117"/>
  <c r="O118" s="1"/>
  <c r="S117"/>
  <c r="J118"/>
  <c r="L2" i="5"/>
  <c r="L3"/>
  <c r="P3"/>
  <c r="AB3"/>
  <c r="AC3"/>
  <c r="AE3"/>
  <c r="BJ3"/>
  <c r="BL3"/>
  <c r="BP3"/>
  <c r="BP4" s="1"/>
  <c r="BP5" s="1"/>
  <c r="BP6" s="1"/>
  <c r="BP7" s="1"/>
  <c r="BP8" s="1"/>
  <c r="BP9" s="1"/>
  <c r="BP10" s="1"/>
  <c r="BP11" s="1"/>
  <c r="BP12" s="1"/>
  <c r="AA4"/>
  <c r="AA5" s="1"/>
  <c r="AA6" s="1"/>
  <c r="AA7" s="1"/>
  <c r="AA8" s="1"/>
  <c r="AA9" s="1"/>
  <c r="AA10" s="1"/>
  <c r="AA11" s="1"/>
  <c r="AA12" s="1"/>
  <c r="AA13" s="1"/>
  <c r="AA14" s="1"/>
  <c r="AA15" s="1"/>
  <c r="AA16" s="1"/>
  <c r="AA17" s="1"/>
  <c r="AA18" s="1"/>
  <c r="AA19" s="1"/>
  <c r="AA20" s="1"/>
  <c r="AA21" s="1"/>
  <c r="AB4"/>
  <c r="AC4"/>
  <c r="AE4"/>
  <c r="BH4"/>
  <c r="BJ4"/>
  <c r="BL4"/>
  <c r="BN4"/>
  <c r="AB5"/>
  <c r="AC5"/>
  <c r="AK5" s="1"/>
  <c r="E43" s="1"/>
  <c r="AE5"/>
  <c r="AI5"/>
  <c r="B43" s="1"/>
  <c r="BH5"/>
  <c r="BH18" s="1"/>
  <c r="BJ5"/>
  <c r="BL5"/>
  <c r="BL18" s="1"/>
  <c r="BR5"/>
  <c r="E30" s="1"/>
  <c r="E6"/>
  <c r="Q6"/>
  <c r="U6" s="1"/>
  <c r="B6" s="1"/>
  <c r="G19" s="1"/>
  <c r="AB6"/>
  <c r="AC6"/>
  <c r="AI6" s="1"/>
  <c r="B44" s="1"/>
  <c r="AE6"/>
  <c r="AU6"/>
  <c r="AV11" s="1"/>
  <c r="BH6"/>
  <c r="BH19" s="1"/>
  <c r="BJ6"/>
  <c r="BT19" s="1"/>
  <c r="B31" s="1"/>
  <c r="BL6"/>
  <c r="BR6"/>
  <c r="E31" s="1"/>
  <c r="E7"/>
  <c r="Q7"/>
  <c r="U7" s="1"/>
  <c r="B7" s="1"/>
  <c r="G20" s="1"/>
  <c r="AB7"/>
  <c r="AC7"/>
  <c r="AI7" s="1"/>
  <c r="B45" s="1"/>
  <c r="AE7"/>
  <c r="AU7"/>
  <c r="BH7"/>
  <c r="BH20" s="1"/>
  <c r="BJ7"/>
  <c r="BR7" s="1"/>
  <c r="BL7"/>
  <c r="BL20" s="1"/>
  <c r="E8"/>
  <c r="Q8"/>
  <c r="U8" s="1"/>
  <c r="B8" s="1"/>
  <c r="G21" s="1"/>
  <c r="AB8"/>
  <c r="AC8"/>
  <c r="AI8" s="1"/>
  <c r="B46" s="1"/>
  <c r="AE8"/>
  <c r="AK8"/>
  <c r="E46" s="1"/>
  <c r="AU8"/>
  <c r="AU11" s="1"/>
  <c r="BH8"/>
  <c r="BJ8"/>
  <c r="BJ21" s="1"/>
  <c r="BL8"/>
  <c r="Q9"/>
  <c r="S9"/>
  <c r="U9" s="1"/>
  <c r="AB9"/>
  <c r="AC9"/>
  <c r="AE9"/>
  <c r="AI9"/>
  <c r="B47" s="1"/>
  <c r="AK9"/>
  <c r="BH9"/>
  <c r="BH22" s="1"/>
  <c r="BJ9"/>
  <c r="BT22" s="1"/>
  <c r="B34" s="1"/>
  <c r="BL9"/>
  <c r="Q10"/>
  <c r="S10"/>
  <c r="AB10"/>
  <c r="AC10"/>
  <c r="AI10" s="1"/>
  <c r="AE10"/>
  <c r="AK10"/>
  <c r="E48" s="1"/>
  <c r="BH10"/>
  <c r="BJ10"/>
  <c r="BL10"/>
  <c r="Q11"/>
  <c r="S11"/>
  <c r="AB11"/>
  <c r="AC11"/>
  <c r="AI11" s="1"/>
  <c r="AE11"/>
  <c r="AK11"/>
  <c r="E49" s="1"/>
  <c r="AW11"/>
  <c r="BH11"/>
  <c r="BH24" s="1"/>
  <c r="BJ11"/>
  <c r="BL11"/>
  <c r="BL24" s="1"/>
  <c r="BR11"/>
  <c r="E36" s="1"/>
  <c r="AB12"/>
  <c r="AC12"/>
  <c r="AE12"/>
  <c r="AI12"/>
  <c r="B50" s="1"/>
  <c r="AK12"/>
  <c r="AV12"/>
  <c r="BH12"/>
  <c r="BH25" s="1"/>
  <c r="BJ12"/>
  <c r="BL12"/>
  <c r="BL25" s="1"/>
  <c r="BR12"/>
  <c r="BR25" s="1"/>
  <c r="AB13"/>
  <c r="AC13"/>
  <c r="AE13"/>
  <c r="AI13"/>
  <c r="B51" s="1"/>
  <c r="AK13"/>
  <c r="BH13"/>
  <c r="BJ13"/>
  <c r="BR13" s="1"/>
  <c r="BL13"/>
  <c r="BP13"/>
  <c r="AB14"/>
  <c r="AC14"/>
  <c r="AI14" s="1"/>
  <c r="AE14"/>
  <c r="AV14"/>
  <c r="AB15"/>
  <c r="AC15"/>
  <c r="AK15" s="1"/>
  <c r="E53" s="1"/>
  <c r="AE15"/>
  <c r="AI15"/>
  <c r="B53" s="1"/>
  <c r="BA15"/>
  <c r="B16" s="1"/>
  <c r="AB16"/>
  <c r="AC16"/>
  <c r="AK16" s="1"/>
  <c r="E54" s="1"/>
  <c r="AE16"/>
  <c r="BH16"/>
  <c r="BL16"/>
  <c r="AB17"/>
  <c r="AC17"/>
  <c r="AI17" s="1"/>
  <c r="B55" s="1"/>
  <c r="AE17"/>
  <c r="BH17"/>
  <c r="BL17"/>
  <c r="AB18"/>
  <c r="AC18"/>
  <c r="AI18" s="1"/>
  <c r="B56" s="1"/>
  <c r="AE18"/>
  <c r="AK18"/>
  <c r="E56" s="1"/>
  <c r="BA18"/>
  <c r="B17" s="1"/>
  <c r="BJ18"/>
  <c r="BR18"/>
  <c r="BT18"/>
  <c r="M19"/>
  <c r="AB19"/>
  <c r="AC19"/>
  <c r="AK19" s="1"/>
  <c r="E57" s="1"/>
  <c r="AE19"/>
  <c r="BJ19"/>
  <c r="BL19"/>
  <c r="M20"/>
  <c r="AB20"/>
  <c r="AC20"/>
  <c r="AI20" s="1"/>
  <c r="B58" s="1"/>
  <c r="AE20"/>
  <c r="AK20"/>
  <c r="E58" s="1"/>
  <c r="BJ20"/>
  <c r="M21"/>
  <c r="AB21"/>
  <c r="AC21"/>
  <c r="AK21" s="1"/>
  <c r="E59" s="1"/>
  <c r="AE21"/>
  <c r="AI21"/>
  <c r="B59" s="1"/>
  <c r="BH21"/>
  <c r="BL21"/>
  <c r="AA22"/>
  <c r="AA23" s="1"/>
  <c r="AA24" s="1"/>
  <c r="AB22"/>
  <c r="AC22"/>
  <c r="AE22"/>
  <c r="AG22"/>
  <c r="BL22"/>
  <c r="AB23"/>
  <c r="AC23"/>
  <c r="AK23" s="1"/>
  <c r="E61" s="1"/>
  <c r="AE23"/>
  <c r="AI23"/>
  <c r="B61" s="1"/>
  <c r="BH23"/>
  <c r="BL23"/>
  <c r="AB24"/>
  <c r="AC24"/>
  <c r="AI24" s="1"/>
  <c r="B62" s="1"/>
  <c r="AE24"/>
  <c r="AU24"/>
  <c r="AV29" s="1"/>
  <c r="AV30" s="1"/>
  <c r="AA25"/>
  <c r="AA26" s="1"/>
  <c r="AA27" s="1"/>
  <c r="AA28" s="1"/>
  <c r="AA29" s="1"/>
  <c r="AA30" s="1"/>
  <c r="AA31" s="1"/>
  <c r="AA32" s="1"/>
  <c r="AA33" s="1"/>
  <c r="AA34" s="1"/>
  <c r="AA35" s="1"/>
  <c r="AA36" s="1"/>
  <c r="AB25"/>
  <c r="AC25"/>
  <c r="AE25"/>
  <c r="AG25"/>
  <c r="AU25"/>
  <c r="BJ25"/>
  <c r="BT25"/>
  <c r="B37" s="1"/>
  <c r="AB26"/>
  <c r="AC26"/>
  <c r="AI26" s="1"/>
  <c r="B64" s="1"/>
  <c r="AE26"/>
  <c r="AK26"/>
  <c r="E64" s="1"/>
  <c r="AU26"/>
  <c r="BH26"/>
  <c r="BL26"/>
  <c r="AB27"/>
  <c r="AC27"/>
  <c r="AE27"/>
  <c r="AF27"/>
  <c r="AU27"/>
  <c r="AB28"/>
  <c r="AC28"/>
  <c r="AI28" s="1"/>
  <c r="AE28"/>
  <c r="AK28"/>
  <c r="E66" s="1"/>
  <c r="AB29"/>
  <c r="AC29"/>
  <c r="AI29" s="1"/>
  <c r="B67" s="1"/>
  <c r="AE29"/>
  <c r="AK29"/>
  <c r="E67" s="1"/>
  <c r="AW29"/>
  <c r="AX29"/>
  <c r="B30"/>
  <c r="AB30"/>
  <c r="AC30"/>
  <c r="AE30"/>
  <c r="AI30"/>
  <c r="AK30"/>
  <c r="AW30"/>
  <c r="AX30"/>
  <c r="AB31"/>
  <c r="AC31"/>
  <c r="AE31"/>
  <c r="AI31"/>
  <c r="B69" s="1"/>
  <c r="AK31"/>
  <c r="AB32"/>
  <c r="AC32"/>
  <c r="AI32" s="1"/>
  <c r="B70" s="1"/>
  <c r="AE32"/>
  <c r="AB33"/>
  <c r="AC33"/>
  <c r="AE33"/>
  <c r="AI33"/>
  <c r="B71" s="1"/>
  <c r="AK33"/>
  <c r="E71" s="1"/>
  <c r="BA33"/>
  <c r="B22" s="1"/>
  <c r="AB34"/>
  <c r="AC34"/>
  <c r="AI34" s="1"/>
  <c r="B72" s="1"/>
  <c r="AE34"/>
  <c r="AG34"/>
  <c r="AB35"/>
  <c r="AC35"/>
  <c r="AE35"/>
  <c r="AI35"/>
  <c r="B73" s="1"/>
  <c r="AK35"/>
  <c r="AX35"/>
  <c r="E23" s="1"/>
  <c r="AB36"/>
  <c r="AC36"/>
  <c r="AE36"/>
  <c r="AG36"/>
  <c r="BA36"/>
  <c r="B23" s="1"/>
  <c r="E37"/>
  <c r="Q44"/>
  <c r="E47"/>
  <c r="Q47"/>
  <c r="B48"/>
  <c r="Q48"/>
  <c r="B49"/>
  <c r="Q49"/>
  <c r="E50"/>
  <c r="E51"/>
  <c r="Q51"/>
  <c r="B52"/>
  <c r="P52"/>
  <c r="Q52"/>
  <c r="Q53"/>
  <c r="G54"/>
  <c r="G55"/>
  <c r="G56"/>
  <c r="P56"/>
  <c r="R56" s="1"/>
  <c r="G57"/>
  <c r="P57"/>
  <c r="T57" s="1"/>
  <c r="R57"/>
  <c r="G58"/>
  <c r="P58"/>
  <c r="R58"/>
  <c r="P59"/>
  <c r="R59" s="1"/>
  <c r="P60"/>
  <c r="R60" s="1"/>
  <c r="P61"/>
  <c r="R61"/>
  <c r="P65"/>
  <c r="B66"/>
  <c r="B68"/>
  <c r="E68"/>
  <c r="P68"/>
  <c r="E69"/>
  <c r="E73"/>
  <c r="AG84"/>
  <c r="AH84"/>
  <c r="AJ84" s="1"/>
  <c r="G6" s="1"/>
  <c r="AK84"/>
  <c r="AG85"/>
  <c r="AH85" s="1"/>
  <c r="AK85"/>
  <c r="AR94" s="1"/>
  <c r="AT94" s="1"/>
  <c r="AU94" s="1"/>
  <c r="AG86"/>
  <c r="AP86"/>
  <c r="AQ86" s="1"/>
  <c r="AW86"/>
  <c r="AX86" s="1"/>
  <c r="AG87"/>
  <c r="AH87" s="1"/>
  <c r="AG88"/>
  <c r="AH88" s="1"/>
  <c r="AG89"/>
  <c r="AH89" s="1"/>
  <c r="AP89"/>
  <c r="AQ89" s="1"/>
  <c r="AS89" s="1"/>
  <c r="AW89"/>
  <c r="AX89" s="1"/>
  <c r="AH92"/>
  <c r="Y102"/>
  <c r="AG102"/>
  <c r="Y103"/>
  <c r="AB104"/>
  <c r="AE104"/>
  <c r="AG104"/>
  <c r="AG109"/>
  <c r="R111"/>
  <c r="R113" s="1"/>
  <c r="R117" s="1"/>
  <c r="R132" s="1"/>
  <c r="H75" s="1"/>
  <c r="R112"/>
  <c r="AH113"/>
  <c r="AH114"/>
  <c r="AJ114" s="1"/>
  <c r="B84" s="1"/>
  <c r="R120"/>
  <c r="H63" s="1"/>
  <c r="R134"/>
  <c r="H77" s="1"/>
  <c r="B3" i="10"/>
  <c r="B4"/>
  <c r="B5"/>
  <c r="E6"/>
  <c r="B7"/>
  <c r="Q7" s="1"/>
  <c r="B8"/>
  <c r="E8"/>
  <c r="B9"/>
  <c r="E9"/>
  <c r="B10"/>
  <c r="E11"/>
  <c r="E12"/>
  <c r="AA21"/>
  <c r="M30"/>
  <c r="AA45"/>
  <c r="E7" s="1"/>
  <c r="Q55"/>
  <c r="Y58" s="1"/>
  <c r="U59" s="1"/>
  <c r="AL62"/>
  <c r="AL63"/>
  <c r="AL65"/>
  <c r="AA71"/>
  <c r="AA92"/>
  <c r="Q103"/>
  <c r="AL107" s="1"/>
  <c r="AA119"/>
  <c r="E10" s="1"/>
  <c r="Q130"/>
  <c r="AL134" s="1"/>
  <c r="AL136"/>
  <c r="AL139"/>
  <c r="AA146"/>
  <c r="AA172"/>
  <c r="AA199"/>
  <c r="E13" s="1"/>
  <c r="L2" i="6"/>
  <c r="L3"/>
  <c r="P3"/>
  <c r="AB3"/>
  <c r="AC3"/>
  <c r="AE3"/>
  <c r="BJ3"/>
  <c r="BT16" s="1"/>
  <c r="B28" s="1"/>
  <c r="B28" i="2" s="1"/>
  <c r="BL3" i="6"/>
  <c r="BL16" s="1"/>
  <c r="BR3"/>
  <c r="AA4"/>
  <c r="AB4"/>
  <c r="AC4"/>
  <c r="AE4"/>
  <c r="BH4"/>
  <c r="BH17" s="1"/>
  <c r="BJ4"/>
  <c r="BJ17" s="1"/>
  <c r="BL4"/>
  <c r="BN4"/>
  <c r="BN17" s="1"/>
  <c r="AA5"/>
  <c r="AA6" s="1"/>
  <c r="AA7" s="1"/>
  <c r="AA8" s="1"/>
  <c r="AA9" s="1"/>
  <c r="AB5"/>
  <c r="AC5"/>
  <c r="AI5" s="1"/>
  <c r="B43" s="1"/>
  <c r="AE5"/>
  <c r="BH5"/>
  <c r="BJ5"/>
  <c r="BJ18" s="1"/>
  <c r="BL5"/>
  <c r="BL18" s="1"/>
  <c r="BR5"/>
  <c r="BR18" s="1"/>
  <c r="E6"/>
  <c r="M19" s="1"/>
  <c r="Q6"/>
  <c r="U6" s="1"/>
  <c r="B6" s="1"/>
  <c r="AB6"/>
  <c r="AC6"/>
  <c r="AE6"/>
  <c r="AI6"/>
  <c r="B44" s="1"/>
  <c r="B44" i="2" s="1"/>
  <c r="AK6" i="6"/>
  <c r="E44" s="1"/>
  <c r="E44" i="2" s="1"/>
  <c r="D140" i="7" s="1"/>
  <c r="I140" s="1"/>
  <c r="AU6" i="6"/>
  <c r="BH6"/>
  <c r="BJ6"/>
  <c r="BJ19" s="1"/>
  <c r="BL6"/>
  <c r="BL19" s="1"/>
  <c r="E7"/>
  <c r="E7" i="2" s="1"/>
  <c r="Q7" i="6"/>
  <c r="U7"/>
  <c r="B7" s="1"/>
  <c r="AB7"/>
  <c r="AC7"/>
  <c r="AK7" s="1"/>
  <c r="E45" s="1"/>
  <c r="E45" i="2" s="1"/>
  <c r="D141" i="7" s="1"/>
  <c r="H141" s="1"/>
  <c r="AE7" i="6"/>
  <c r="AU7"/>
  <c r="BH7"/>
  <c r="BJ7"/>
  <c r="BJ20" s="1"/>
  <c r="BL7"/>
  <c r="BR7"/>
  <c r="BR20" s="1"/>
  <c r="E8"/>
  <c r="Q8"/>
  <c r="U8" s="1"/>
  <c r="B8" s="1"/>
  <c r="B8" i="2" s="1"/>
  <c r="AB8" i="6"/>
  <c r="AC8"/>
  <c r="AI8" s="1"/>
  <c r="B46" s="1"/>
  <c r="B46" i="2" s="1"/>
  <c r="AE8" i="6"/>
  <c r="AK8"/>
  <c r="E46" s="1"/>
  <c r="E46" i="2" s="1"/>
  <c r="D142" i="7" s="1"/>
  <c r="I142" s="1"/>
  <c r="AU8" i="6"/>
  <c r="AX11" s="1"/>
  <c r="AX12" s="1"/>
  <c r="BH8"/>
  <c r="BH21" s="1"/>
  <c r="BJ8"/>
  <c r="BT21" s="1"/>
  <c r="B33" s="1"/>
  <c r="BL8"/>
  <c r="BL21" s="1"/>
  <c r="Q9"/>
  <c r="U9" s="1"/>
  <c r="S9"/>
  <c r="AB9"/>
  <c r="AC9"/>
  <c r="AI9" s="1"/>
  <c r="B47" s="1"/>
  <c r="B47" i="2" s="1"/>
  <c r="AE9" i="6"/>
  <c r="AK9"/>
  <c r="BH9"/>
  <c r="BH22" s="1"/>
  <c r="BJ9"/>
  <c r="BJ22" s="1"/>
  <c r="BL9"/>
  <c r="BR9"/>
  <c r="Q10"/>
  <c r="S10"/>
  <c r="AA10"/>
  <c r="AA11" s="1"/>
  <c r="AA12" s="1"/>
  <c r="AB10"/>
  <c r="AC10"/>
  <c r="AI10" s="1"/>
  <c r="B48" s="1"/>
  <c r="B48" i="2" s="1"/>
  <c r="AE10" i="6"/>
  <c r="BH10"/>
  <c r="BH23" s="1"/>
  <c r="BJ10"/>
  <c r="BT23" s="1"/>
  <c r="B35" s="1"/>
  <c r="B35" i="2" s="1"/>
  <c r="BL10" i="6"/>
  <c r="BL23" s="1"/>
  <c r="Q11"/>
  <c r="U11" s="1"/>
  <c r="S11"/>
  <c r="AB11"/>
  <c r="AC11"/>
  <c r="AE11"/>
  <c r="AI11"/>
  <c r="B49" s="1"/>
  <c r="B49" i="2" s="1"/>
  <c r="AK11" i="6"/>
  <c r="E49" s="1"/>
  <c r="E49" i="2" s="1"/>
  <c r="D145" i="7" s="1"/>
  <c r="H145" s="1"/>
  <c r="AT11" i="6"/>
  <c r="AT12" s="1"/>
  <c r="BH11"/>
  <c r="BH24" s="1"/>
  <c r="BJ11"/>
  <c r="BT24" s="1"/>
  <c r="B36" s="1"/>
  <c r="B36" i="2" s="1"/>
  <c r="BL11" i="6"/>
  <c r="BL24" s="1"/>
  <c r="AB12"/>
  <c r="AC12"/>
  <c r="AI12" s="1"/>
  <c r="B50" s="1"/>
  <c r="B50" i="2" s="1"/>
  <c r="AE12" i="6"/>
  <c r="AK12"/>
  <c r="BH12"/>
  <c r="BJ12"/>
  <c r="BT25" s="1"/>
  <c r="B37" s="1"/>
  <c r="B37" i="2" s="1"/>
  <c r="BL12" i="6"/>
  <c r="BL25" s="1"/>
  <c r="BR12"/>
  <c r="BR25" s="1"/>
  <c r="AA13"/>
  <c r="AA14" s="1"/>
  <c r="AA15" s="1"/>
  <c r="AB13"/>
  <c r="AC13"/>
  <c r="AI13" s="1"/>
  <c r="AE13"/>
  <c r="BH13"/>
  <c r="BJ13"/>
  <c r="BT26" s="1"/>
  <c r="BL13"/>
  <c r="BR13"/>
  <c r="E38" s="1"/>
  <c r="E38" i="2" s="1"/>
  <c r="AB14" i="6"/>
  <c r="AC14"/>
  <c r="AE14"/>
  <c r="AI14"/>
  <c r="AK14"/>
  <c r="E52" s="1"/>
  <c r="E52" i="2" s="1"/>
  <c r="D148" i="7" s="1"/>
  <c r="I148" s="1"/>
  <c r="AB15" i="6"/>
  <c r="AC15"/>
  <c r="AK15" s="1"/>
  <c r="E53" s="1"/>
  <c r="E53" i="2" s="1"/>
  <c r="D149" i="7" s="1"/>
  <c r="H149" s="1"/>
  <c r="AE15" i="6"/>
  <c r="AA16"/>
  <c r="AA17" s="1"/>
  <c r="AA18" s="1"/>
  <c r="AA19" s="1"/>
  <c r="AA20" s="1"/>
  <c r="AB16"/>
  <c r="AC16"/>
  <c r="AI16" s="1"/>
  <c r="B54" s="1"/>
  <c r="B54" i="2" s="1"/>
  <c r="AE16" i="6"/>
  <c r="AG16"/>
  <c r="BH16"/>
  <c r="BJ16"/>
  <c r="AB17"/>
  <c r="AC17"/>
  <c r="AI17" s="1"/>
  <c r="B55" s="1"/>
  <c r="B55" i="2" s="1"/>
  <c r="AE17" i="6"/>
  <c r="AK17"/>
  <c r="E55" s="1"/>
  <c r="E55" i="2" s="1"/>
  <c r="D151" i="7" s="1"/>
  <c r="H151" s="1"/>
  <c r="AB18" i="6"/>
  <c r="AC18"/>
  <c r="AK18" s="1"/>
  <c r="E56" s="1"/>
  <c r="E56" i="2" s="1"/>
  <c r="D152" i="7" s="1"/>
  <c r="I152" s="1"/>
  <c r="AE18" i="6"/>
  <c r="BH18"/>
  <c r="BT18"/>
  <c r="B30" s="1"/>
  <c r="B30" i="2" s="1"/>
  <c r="AB19" i="6"/>
  <c r="AC19"/>
  <c r="AK19" s="1"/>
  <c r="E57" s="1"/>
  <c r="E57" i="2" s="1"/>
  <c r="D153" i="7" s="1"/>
  <c r="H153" s="1"/>
  <c r="AE19" i="6"/>
  <c r="BH19"/>
  <c r="BT19"/>
  <c r="B31" s="1"/>
  <c r="B31" i="2" s="1"/>
  <c r="AB20" i="6"/>
  <c r="AC20"/>
  <c r="AK20" s="1"/>
  <c r="E58" s="1"/>
  <c r="E58" i="2" s="1"/>
  <c r="D154" i="7" s="1"/>
  <c r="I154" s="1"/>
  <c r="AE20" i="6"/>
  <c r="BH20"/>
  <c r="BL20"/>
  <c r="BT20"/>
  <c r="B32" s="1"/>
  <c r="B32" i="2" s="1"/>
  <c r="AA21" i="6"/>
  <c r="AA22" s="1"/>
  <c r="AA23" s="1"/>
  <c r="AA24" s="1"/>
  <c r="AA25" s="1"/>
  <c r="AA26" s="1"/>
  <c r="AA27" s="1"/>
  <c r="AA28" s="1"/>
  <c r="AA29" s="1"/>
  <c r="AA30" s="1"/>
  <c r="AA31" s="1"/>
  <c r="AA32" s="1"/>
  <c r="AA33" s="1"/>
  <c r="AA34" s="1"/>
  <c r="AA35" s="1"/>
  <c r="AA36" s="1"/>
  <c r="AB21"/>
  <c r="AC21"/>
  <c r="AI21" s="1"/>
  <c r="B59" s="1"/>
  <c r="B59" i="2" s="1"/>
  <c r="AE21" i="6"/>
  <c r="BJ21"/>
  <c r="AB22"/>
  <c r="AC22"/>
  <c r="AE22"/>
  <c r="AI22"/>
  <c r="B60" s="1"/>
  <c r="B60" i="2" s="1"/>
  <c r="AK22" i="6"/>
  <c r="E60" s="1"/>
  <c r="E60" i="2" s="1"/>
  <c r="D156" i="7" s="1"/>
  <c r="I156" s="1"/>
  <c r="BL22" i="6"/>
  <c r="AB23"/>
  <c r="AC23"/>
  <c r="AI23" s="1"/>
  <c r="B61" s="1"/>
  <c r="AE23"/>
  <c r="AK23"/>
  <c r="BJ23"/>
  <c r="AB24"/>
  <c r="AC24"/>
  <c r="AE24"/>
  <c r="AI24"/>
  <c r="B62" s="1"/>
  <c r="B62" i="2" s="1"/>
  <c r="AK24" i="6"/>
  <c r="E62" s="1"/>
  <c r="E62" i="2" s="1"/>
  <c r="D158" i="7" s="1"/>
  <c r="I158" s="1"/>
  <c r="AU24" i="6"/>
  <c r="BJ24"/>
  <c r="AB25"/>
  <c r="AC25"/>
  <c r="AI25" s="1"/>
  <c r="AE25"/>
  <c r="AK25"/>
  <c r="E63" s="1"/>
  <c r="E63" i="2" s="1"/>
  <c r="D159" i="7" s="1"/>
  <c r="H159" s="1"/>
  <c r="AU25" i="6"/>
  <c r="BH25"/>
  <c r="AB26"/>
  <c r="AC26"/>
  <c r="AI26" s="1"/>
  <c r="B64" s="1"/>
  <c r="B64" i="2" s="1"/>
  <c r="AE26" i="6"/>
  <c r="AK26"/>
  <c r="E64" s="1"/>
  <c r="E64" i="2" s="1"/>
  <c r="D160" i="7" s="1"/>
  <c r="I160" s="1"/>
  <c r="AU26" i="6"/>
  <c r="BH26"/>
  <c r="BJ26"/>
  <c r="BL26"/>
  <c r="AB27"/>
  <c r="AC27"/>
  <c r="AE27"/>
  <c r="AF27"/>
  <c r="AU27"/>
  <c r="AB28"/>
  <c r="AC28"/>
  <c r="AE28"/>
  <c r="AF28"/>
  <c r="AG28"/>
  <c r="AI28"/>
  <c r="AK28"/>
  <c r="E66" s="1"/>
  <c r="E66" i="2" s="1"/>
  <c r="AB29" i="6"/>
  <c r="AC29"/>
  <c r="AK29" s="1"/>
  <c r="E67" s="1"/>
  <c r="E67" i="2" s="1"/>
  <c r="AE29" i="6"/>
  <c r="AF29"/>
  <c r="AI29"/>
  <c r="B67" s="1"/>
  <c r="B67" i="2" s="1"/>
  <c r="E30" i="6"/>
  <c r="E30" i="2" s="1"/>
  <c r="AB30" i="6"/>
  <c r="AC30"/>
  <c r="AK30" s="1"/>
  <c r="E68" s="1"/>
  <c r="E68" i="2" s="1"/>
  <c r="AE30" i="6"/>
  <c r="AF30"/>
  <c r="AI30"/>
  <c r="B68" s="1"/>
  <c r="B68" i="2" s="1"/>
  <c r="AB31" i="6"/>
  <c r="AC31"/>
  <c r="AK31" s="1"/>
  <c r="E69" s="1"/>
  <c r="E69" i="2" s="1"/>
  <c r="AE31" i="6"/>
  <c r="AF31"/>
  <c r="AI31"/>
  <c r="B69" s="1"/>
  <c r="B69" i="2" s="1"/>
  <c r="AB32" i="6"/>
  <c r="AC32"/>
  <c r="AE32"/>
  <c r="AF32"/>
  <c r="AG32"/>
  <c r="AI32"/>
  <c r="B70" s="1"/>
  <c r="B70" i="2" s="1"/>
  <c r="AK32" i="6"/>
  <c r="E70" s="1"/>
  <c r="E70" i="2" s="1"/>
  <c r="AB33" i="6"/>
  <c r="AC33"/>
  <c r="AK33" s="1"/>
  <c r="E71" s="1"/>
  <c r="E71" i="2" s="1"/>
  <c r="AE33" i="6"/>
  <c r="AF33"/>
  <c r="AI33"/>
  <c r="B71" s="1"/>
  <c r="B71" i="2" s="1"/>
  <c r="AB34" i="6"/>
  <c r="AC34"/>
  <c r="AK34" s="1"/>
  <c r="E72" s="1"/>
  <c r="E72" i="2" s="1"/>
  <c r="AE34" i="6"/>
  <c r="AF34"/>
  <c r="AI34"/>
  <c r="B72" s="1"/>
  <c r="B72" i="2" s="1"/>
  <c r="AB35" i="6"/>
  <c r="AC35"/>
  <c r="AE35"/>
  <c r="AF35"/>
  <c r="AG35"/>
  <c r="AI35"/>
  <c r="AK35"/>
  <c r="E73" s="1"/>
  <c r="E73" i="2" s="1"/>
  <c r="AB36" i="6"/>
  <c r="AC36"/>
  <c r="AE36"/>
  <c r="AF36"/>
  <c r="AG36"/>
  <c r="AI36"/>
  <c r="AK36"/>
  <c r="E74" s="1"/>
  <c r="E74" i="2" s="1"/>
  <c r="B38" i="6"/>
  <c r="B38" i="2" s="1"/>
  <c r="Q44" i="6"/>
  <c r="E47"/>
  <c r="E47" i="2" s="1"/>
  <c r="D143" i="7" s="1"/>
  <c r="H143" s="1"/>
  <c r="Q47" i="6"/>
  <c r="Q48"/>
  <c r="Q49"/>
  <c r="E50"/>
  <c r="E50" i="2" s="1"/>
  <c r="D146" i="7" s="1"/>
  <c r="I146" s="1"/>
  <c r="B51" i="6"/>
  <c r="B51" i="2" s="1"/>
  <c r="Q51" i="6"/>
  <c r="B52"/>
  <c r="B52" i="2" s="1"/>
  <c r="P52" i="6"/>
  <c r="Q52"/>
  <c r="Q53"/>
  <c r="G54"/>
  <c r="G55"/>
  <c r="G55" i="2" s="1"/>
  <c r="G56" i="6"/>
  <c r="G56" i="2" s="1"/>
  <c r="P56" i="6"/>
  <c r="R56" s="1"/>
  <c r="G57"/>
  <c r="G57" i="2" s="1"/>
  <c r="P57" i="6"/>
  <c r="T57" s="1"/>
  <c r="G58"/>
  <c r="G58" i="2" s="1"/>
  <c r="P58" i="6"/>
  <c r="R58"/>
  <c r="P59"/>
  <c r="R59"/>
  <c r="P60"/>
  <c r="R60" s="1"/>
  <c r="E61"/>
  <c r="E61" i="2" s="1"/>
  <c r="D157" i="7" s="1"/>
  <c r="H157" s="1"/>
  <c r="P61" i="6"/>
  <c r="R61"/>
  <c r="B63"/>
  <c r="B63" i="2" s="1"/>
  <c r="P65" i="6"/>
  <c r="B66"/>
  <c r="B66" i="2" s="1"/>
  <c r="P68" i="6"/>
  <c r="B73"/>
  <c r="B73" i="2" s="1"/>
  <c r="B74" i="6"/>
  <c r="B74" i="2" s="1"/>
  <c r="AG84" i="6"/>
  <c r="AH84" s="1"/>
  <c r="AJ84" s="1"/>
  <c r="G6" s="1"/>
  <c r="G6" i="2" s="1"/>
  <c r="AK84" i="6"/>
  <c r="AG85"/>
  <c r="AK85" s="1"/>
  <c r="AR94" s="1"/>
  <c r="AT94" s="1"/>
  <c r="AU94" s="1"/>
  <c r="AH85"/>
  <c r="AG86"/>
  <c r="AP86"/>
  <c r="AW86" s="1"/>
  <c r="AX86" s="1"/>
  <c r="AQ86"/>
  <c r="AG87"/>
  <c r="AH87" s="1"/>
  <c r="AG88"/>
  <c r="AH88"/>
  <c r="AG89"/>
  <c r="AH89"/>
  <c r="AP89"/>
  <c r="AW89" s="1"/>
  <c r="AX89" s="1"/>
  <c r="AQ89"/>
  <c r="AS89" s="1"/>
  <c r="AH92"/>
  <c r="Y102"/>
  <c r="AG102"/>
  <c r="Y103"/>
  <c r="AB104"/>
  <c r="AE104"/>
  <c r="AG104"/>
  <c r="AG109"/>
  <c r="R111"/>
  <c r="R112"/>
  <c r="AH113"/>
  <c r="AH114"/>
  <c r="AJ114" s="1"/>
  <c r="B84" s="1"/>
  <c r="B84" i="2" s="1"/>
  <c r="M7" i="7"/>
  <c r="T18" s="1"/>
  <c r="P9"/>
  <c r="Q9" s="1"/>
  <c r="P13" s="1"/>
  <c r="P14" s="1"/>
  <c r="C10"/>
  <c r="J10" s="1"/>
  <c r="D10"/>
  <c r="P10"/>
  <c r="D11"/>
  <c r="P11"/>
  <c r="D12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H14"/>
  <c r="O14"/>
  <c r="F18"/>
  <c r="H22"/>
  <c r="H26"/>
  <c r="H28"/>
  <c r="H30"/>
  <c r="J34"/>
  <c r="M48"/>
  <c r="T59" s="1"/>
  <c r="M50"/>
  <c r="M55" s="1"/>
  <c r="C52"/>
  <c r="F53" s="1"/>
  <c r="F52"/>
  <c r="N52"/>
  <c r="Q52" s="1"/>
  <c r="Q53" s="1"/>
  <c r="P52"/>
  <c r="P53" s="1"/>
  <c r="O53"/>
  <c r="N54"/>
  <c r="N55" s="1"/>
  <c r="F55"/>
  <c r="F56"/>
  <c r="F57"/>
  <c r="F59"/>
  <c r="F60"/>
  <c r="F61"/>
  <c r="E62"/>
  <c r="F62"/>
  <c r="E63"/>
  <c r="I63" s="1"/>
  <c r="G63"/>
  <c r="K63" s="1"/>
  <c r="J63"/>
  <c r="E64"/>
  <c r="F74"/>
  <c r="J74"/>
  <c r="K74"/>
  <c r="D75"/>
  <c r="E75"/>
  <c r="D76"/>
  <c r="D77" s="1"/>
  <c r="D78"/>
  <c r="D79" s="1"/>
  <c r="D80" s="1"/>
  <c r="D81" s="1"/>
  <c r="D82" s="1"/>
  <c r="D83" s="1"/>
  <c r="D84" s="1"/>
  <c r="D85" s="1"/>
  <c r="D86" s="1"/>
  <c r="D87" s="1"/>
  <c r="D88" s="1"/>
  <c r="D89" s="1"/>
  <c r="D90" s="1"/>
  <c r="D91" s="1"/>
  <c r="D92" s="1"/>
  <c r="D93" s="1"/>
  <c r="F94"/>
  <c r="K94"/>
  <c r="D109"/>
  <c r="B111"/>
  <c r="C115"/>
  <c r="D115"/>
  <c r="D116" s="1"/>
  <c r="D117" s="1"/>
  <c r="D118" s="1"/>
  <c r="D119" s="1"/>
  <c r="D120" s="1"/>
  <c r="D121" s="1"/>
  <c r="D122" s="1"/>
  <c r="D123" s="1"/>
  <c r="D124" s="1"/>
  <c r="D125" s="1"/>
  <c r="D126" s="1"/>
  <c r="D127" s="1"/>
  <c r="D128" s="1"/>
  <c r="E115"/>
  <c r="C116"/>
  <c r="C117" s="1"/>
  <c r="C118" s="1"/>
  <c r="C119" s="1"/>
  <c r="C120" s="1"/>
  <c r="C121" s="1"/>
  <c r="C122" s="1"/>
  <c r="C123" s="1"/>
  <c r="C124" s="1"/>
  <c r="C125" s="1"/>
  <c r="C126" s="1"/>
  <c r="C127" s="1"/>
  <c r="C128" s="1"/>
  <c r="E116"/>
  <c r="E117" s="1"/>
  <c r="E118"/>
  <c r="E119" s="1"/>
  <c r="E120" s="1"/>
  <c r="E121" s="1"/>
  <c r="E122" s="1"/>
  <c r="E123" s="1"/>
  <c r="E124" s="1"/>
  <c r="E125" s="1"/>
  <c r="E126" s="1"/>
  <c r="E127" s="1"/>
  <c r="E128" s="1"/>
  <c r="H134"/>
  <c r="J139" s="1"/>
  <c r="C138"/>
  <c r="C139" s="1"/>
  <c r="C140" s="1"/>
  <c r="C141" s="1"/>
  <c r="C142" s="1"/>
  <c r="C143" s="1"/>
  <c r="H140"/>
  <c r="I141"/>
  <c r="C144"/>
  <c r="C145" s="1"/>
  <c r="C146" s="1"/>
  <c r="C147" s="1"/>
  <c r="C148" s="1"/>
  <c r="C149" s="1"/>
  <c r="J145"/>
  <c r="H146"/>
  <c r="I147"/>
  <c r="C150"/>
  <c r="C151" s="1"/>
  <c r="C152" s="1"/>
  <c r="C153" s="1"/>
  <c r="C154" s="1"/>
  <c r="C155" s="1"/>
  <c r="J151"/>
  <c r="H152"/>
  <c r="I153"/>
  <c r="C156"/>
  <c r="C157" s="1"/>
  <c r="C158" s="1"/>
  <c r="C159" s="1"/>
  <c r="C160" s="1"/>
  <c r="J157"/>
  <c r="H158"/>
  <c r="I159"/>
  <c r="J160"/>
  <c r="E162"/>
  <c r="BR20" i="5" l="1"/>
  <c r="E32"/>
  <c r="BR26"/>
  <c r="E38"/>
  <c r="AL16" i="10"/>
  <c r="Y6"/>
  <c r="AL13"/>
  <c r="Y9"/>
  <c r="U10" s="1"/>
  <c r="AG29" i="2"/>
  <c r="P54" i="7"/>
  <c r="P55" s="1"/>
  <c r="AH109" i="6"/>
  <c r="AI92"/>
  <c r="G50"/>
  <c r="G50" i="2" s="1"/>
  <c r="E37" i="6"/>
  <c r="E37" i="2" s="1"/>
  <c r="AG31" i="6"/>
  <c r="AG27"/>
  <c r="AK27" s="1"/>
  <c r="E65" s="1"/>
  <c r="E65" i="2" s="1"/>
  <c r="BJ25" i="6"/>
  <c r="AG25"/>
  <c r="AG23"/>
  <c r="BT22"/>
  <c r="B34" s="1"/>
  <c r="B34" i="2" s="1"/>
  <c r="AG13" i="6"/>
  <c r="U10"/>
  <c r="BN5"/>
  <c r="AG5"/>
  <c r="AG3"/>
  <c r="Q183" i="10"/>
  <c r="AL188" s="1"/>
  <c r="AL138"/>
  <c r="AL135"/>
  <c r="AL66"/>
  <c r="Y54"/>
  <c r="R124" i="5"/>
  <c r="H67" s="1"/>
  <c r="AG35"/>
  <c r="AK34"/>
  <c r="E72" s="1"/>
  <c r="AG33"/>
  <c r="AT29"/>
  <c r="AT30" s="1"/>
  <c r="AG28"/>
  <c r="AX11"/>
  <c r="AX12" s="1"/>
  <c r="BA12" s="1"/>
  <c r="B15" s="1"/>
  <c r="U11"/>
  <c r="C74" i="1"/>
  <c r="O61"/>
  <c r="L61" s="1"/>
  <c r="K25" i="4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AB73" i="8"/>
  <c r="AB68"/>
  <c r="AP67"/>
  <c r="AB64"/>
  <c r="G62"/>
  <c r="AB59"/>
  <c r="AB56"/>
  <c r="L20"/>
  <c r="R111" i="2"/>
  <c r="AH86"/>
  <c r="B82"/>
  <c r="B80"/>
  <c r="B78"/>
  <c r="B75"/>
  <c r="G54"/>
  <c r="G47"/>
  <c r="M43"/>
  <c r="G40"/>
  <c r="B39"/>
  <c r="M34"/>
  <c r="G33"/>
  <c r="M30"/>
  <c r="AK29"/>
  <c r="M28"/>
  <c r="E27"/>
  <c r="E26"/>
  <c r="BT23"/>
  <c r="M23"/>
  <c r="BJ22"/>
  <c r="BJ20"/>
  <c r="M18"/>
  <c r="E17"/>
  <c r="E15"/>
  <c r="BR11"/>
  <c r="BR24" s="1"/>
  <c r="E10"/>
  <c r="AI20" i="6"/>
  <c r="B58" s="1"/>
  <c r="B58" i="2" s="1"/>
  <c r="AI19" i="6"/>
  <c r="B57" s="1"/>
  <c r="B57" i="2" s="1"/>
  <c r="AI18" i="6"/>
  <c r="B56" s="1"/>
  <c r="B56" i="2" s="1"/>
  <c r="AI15" i="6"/>
  <c r="B53" s="1"/>
  <c r="B53" i="2" s="1"/>
  <c r="AI7" i="6"/>
  <c r="B45" s="1"/>
  <c r="B45" i="2" s="1"/>
  <c r="C7" i="10"/>
  <c r="R128" i="5"/>
  <c r="H71" s="1"/>
  <c r="AI92"/>
  <c r="AG32"/>
  <c r="AU29"/>
  <c r="AU30" s="1"/>
  <c r="AG29"/>
  <c r="BT26"/>
  <c r="B38" s="1"/>
  <c r="BT21"/>
  <c r="B33" s="1"/>
  <c r="BR19"/>
  <c r="AI19"/>
  <c r="B57" s="1"/>
  <c r="AK17"/>
  <c r="E55" s="1"/>
  <c r="AI16"/>
  <c r="B54" s="1"/>
  <c r="AT11"/>
  <c r="AT12" s="1"/>
  <c r="BR8"/>
  <c r="AK7"/>
  <c r="E45" s="1"/>
  <c r="AP77" i="8"/>
  <c r="H2"/>
  <c r="AI92" i="2"/>
  <c r="S49"/>
  <c r="AI33"/>
  <c r="AK25"/>
  <c r="AG18"/>
  <c r="AK12"/>
  <c r="AI11"/>
  <c r="AI8"/>
  <c r="AI7"/>
  <c r="AI6"/>
  <c r="J154" i="7"/>
  <c r="J148"/>
  <c r="J142"/>
  <c r="H32"/>
  <c r="H24"/>
  <c r="J16"/>
  <c r="H13"/>
  <c r="M8"/>
  <c r="M14" s="1"/>
  <c r="R57" i="6"/>
  <c r="AG34"/>
  <c r="AG33"/>
  <c r="AG30"/>
  <c r="AG29"/>
  <c r="B61" i="2"/>
  <c r="AG21" i="6"/>
  <c r="BR11"/>
  <c r="BR10"/>
  <c r="E35" s="1"/>
  <c r="E35" i="2" s="1"/>
  <c r="B33"/>
  <c r="AV11" i="6"/>
  <c r="AV12" s="1"/>
  <c r="B43" i="2"/>
  <c r="AI3" i="6"/>
  <c r="B41" s="1"/>
  <c r="B41" i="2" s="1"/>
  <c r="AL140" i="10"/>
  <c r="AL137"/>
  <c r="Y132"/>
  <c r="U133" s="1"/>
  <c r="AL111"/>
  <c r="Q83"/>
  <c r="Y87" s="1"/>
  <c r="Y88" s="1"/>
  <c r="AL64"/>
  <c r="AL61"/>
  <c r="B2"/>
  <c r="AH109" i="5"/>
  <c r="AK32"/>
  <c r="E70" s="1"/>
  <c r="AG31"/>
  <c r="AG30"/>
  <c r="AG27"/>
  <c r="AK27" s="1"/>
  <c r="E65" s="1"/>
  <c r="BJ26"/>
  <c r="BR24"/>
  <c r="AK24"/>
  <c r="E62" s="1"/>
  <c r="BT20"/>
  <c r="B32" s="1"/>
  <c r="AX17"/>
  <c r="E17" s="1"/>
  <c r="AK14"/>
  <c r="E52" s="1"/>
  <c r="AU9"/>
  <c r="AK6"/>
  <c r="E44" s="1"/>
  <c r="AB72" i="8"/>
  <c r="AB71"/>
  <c r="AP65"/>
  <c r="AB63"/>
  <c r="AB60"/>
  <c r="AB57"/>
  <c r="B81" i="2"/>
  <c r="B79"/>
  <c r="B77"/>
  <c r="G53"/>
  <c r="G48"/>
  <c r="G46"/>
  <c r="G42"/>
  <c r="G39"/>
  <c r="G38"/>
  <c r="G36"/>
  <c r="AG32"/>
  <c r="M32"/>
  <c r="AV29"/>
  <c r="AV30" s="1"/>
  <c r="G29"/>
  <c r="AU27"/>
  <c r="BT25"/>
  <c r="E23"/>
  <c r="BT20"/>
  <c r="B20"/>
  <c r="AK18"/>
  <c r="BT17"/>
  <c r="M17"/>
  <c r="BJ16"/>
  <c r="B14"/>
  <c r="B13"/>
  <c r="B11"/>
  <c r="M19"/>
  <c r="F75" i="7"/>
  <c r="I75"/>
  <c r="J75" s="1"/>
  <c r="E76"/>
  <c r="F64"/>
  <c r="I64"/>
  <c r="J64" s="1"/>
  <c r="S48" i="6"/>
  <c r="S49"/>
  <c r="BR16"/>
  <c r="E28"/>
  <c r="E28" i="2" s="1"/>
  <c r="R93" i="1"/>
  <c r="H94" s="1"/>
  <c r="O94"/>
  <c r="AV29" i="6"/>
  <c r="AV30" s="1"/>
  <c r="AT29"/>
  <c r="AT30" s="1"/>
  <c r="E8" i="2"/>
  <c r="M21" i="6"/>
  <c r="M21" i="2" s="1"/>
  <c r="B7"/>
  <c r="G20" i="6"/>
  <c r="G20" i="2" s="1"/>
  <c r="Y10" i="10"/>
  <c r="U11" s="1"/>
  <c r="AL11"/>
  <c r="AL14"/>
  <c r="AL15"/>
  <c r="AL12"/>
  <c r="R121" i="5"/>
  <c r="H64" s="1"/>
  <c r="R125"/>
  <c r="H68" s="1"/>
  <c r="R129"/>
  <c r="H72" s="1"/>
  <c r="R119"/>
  <c r="H62" s="1"/>
  <c r="R123"/>
  <c r="H66" s="1"/>
  <c r="R127"/>
  <c r="H70" s="1"/>
  <c r="R131"/>
  <c r="H74" s="1"/>
  <c r="R135"/>
  <c r="H78" s="1"/>
  <c r="R122"/>
  <c r="H65" s="1"/>
  <c r="R130"/>
  <c r="H73" s="1"/>
  <c r="R136"/>
  <c r="H79" s="1"/>
  <c r="R126"/>
  <c r="H69" s="1"/>
  <c r="R133"/>
  <c r="H76" s="1"/>
  <c r="AI36"/>
  <c r="B74" s="1"/>
  <c r="AK36"/>
  <c r="E74" s="1"/>
  <c r="AI22"/>
  <c r="B60" s="1"/>
  <c r="AK22"/>
  <c r="E60" s="1"/>
  <c r="AU12"/>
  <c r="AY11"/>
  <c r="E15" s="1"/>
  <c r="BN5"/>
  <c r="BN17"/>
  <c r="O116" i="1"/>
  <c r="J116"/>
  <c r="R97"/>
  <c r="H98" s="1"/>
  <c r="O98"/>
  <c r="O82"/>
  <c r="R81"/>
  <c r="H82"/>
  <c r="F11" i="7"/>
  <c r="N10"/>
  <c r="J37"/>
  <c r="H33"/>
  <c r="H31"/>
  <c r="H29"/>
  <c r="H27"/>
  <c r="H25"/>
  <c r="H23"/>
  <c r="J17"/>
  <c r="J15"/>
  <c r="H12"/>
  <c r="F10"/>
  <c r="H9"/>
  <c r="AX35" i="6"/>
  <c r="E25" s="1"/>
  <c r="E25" i="2" s="1"/>
  <c r="AW29" i="6"/>
  <c r="BA15"/>
  <c r="B18" s="1"/>
  <c r="B18" i="2" s="1"/>
  <c r="BJ14" i="6"/>
  <c r="BP3" s="1"/>
  <c r="AL192" i="10"/>
  <c r="AL186"/>
  <c r="AG158"/>
  <c r="AG65"/>
  <c r="BA89" i="5"/>
  <c r="AI27"/>
  <c r="B65" s="1"/>
  <c r="J114" i="1"/>
  <c r="O110"/>
  <c r="J162" i="7"/>
  <c r="G64"/>
  <c r="F34"/>
  <c r="H20"/>
  <c r="F16"/>
  <c r="BA89" i="6"/>
  <c r="BA36"/>
  <c r="B25" s="1"/>
  <c r="B25" i="2" s="1"/>
  <c r="G21" i="6"/>
  <c r="G21" i="2" s="1"/>
  <c r="BL17" i="6"/>
  <c r="AU9"/>
  <c r="BR6"/>
  <c r="AK5"/>
  <c r="E43" s="1"/>
  <c r="E43" i="2" s="1"/>
  <c r="D139" i="7" s="1"/>
  <c r="H139" s="1"/>
  <c r="AK3" i="6"/>
  <c r="E41" s="1"/>
  <c r="AL191" i="10"/>
  <c r="AI189"/>
  <c r="AG139"/>
  <c r="AG61"/>
  <c r="C12"/>
  <c r="O31" i="1"/>
  <c r="AF84" i="8"/>
  <c r="J9" i="7"/>
  <c r="J12"/>
  <c r="J13"/>
  <c r="J14"/>
  <c r="H18"/>
  <c r="J19"/>
  <c r="J20"/>
  <c r="J21"/>
  <c r="F22"/>
  <c r="F23"/>
  <c r="F24"/>
  <c r="F25"/>
  <c r="F26"/>
  <c r="F27"/>
  <c r="F28"/>
  <c r="F29"/>
  <c r="F30"/>
  <c r="F31"/>
  <c r="F32"/>
  <c r="F33"/>
  <c r="H34"/>
  <c r="J36"/>
  <c r="F9"/>
  <c r="H10"/>
  <c r="H11"/>
  <c r="F12"/>
  <c r="F13"/>
  <c r="F14"/>
  <c r="H15"/>
  <c r="H16"/>
  <c r="H17"/>
  <c r="F19"/>
  <c r="F20"/>
  <c r="F21"/>
  <c r="J22"/>
  <c r="J23"/>
  <c r="J24"/>
  <c r="J25"/>
  <c r="J26"/>
  <c r="J27"/>
  <c r="J28"/>
  <c r="J29"/>
  <c r="J30"/>
  <c r="J31"/>
  <c r="J32"/>
  <c r="J33"/>
  <c r="J35"/>
  <c r="J38"/>
  <c r="AR93" i="6"/>
  <c r="AT93" s="1"/>
  <c r="AU93" s="1"/>
  <c r="BA30"/>
  <c r="B23" s="1"/>
  <c r="B23" i="2" s="1"/>
  <c r="BA33" i="6"/>
  <c r="B24" s="1"/>
  <c r="B24" i="2" s="1"/>
  <c r="AX29" i="6"/>
  <c r="AX30" s="1"/>
  <c r="BR22"/>
  <c r="E34"/>
  <c r="E34" i="2" s="1"/>
  <c r="BA12" i="6"/>
  <c r="B17" s="1"/>
  <c r="B17" i="2" s="1"/>
  <c r="AX17" i="6"/>
  <c r="E19" s="1"/>
  <c r="E19" i="2" s="1"/>
  <c r="AU11" i="6"/>
  <c r="AU12" s="1"/>
  <c r="BA18"/>
  <c r="B19" s="1"/>
  <c r="B19" i="2" s="1"/>
  <c r="B6"/>
  <c r="G19" i="6"/>
  <c r="G19" i="2" s="1"/>
  <c r="Y182" i="10"/>
  <c r="AN185"/>
  <c r="AL189"/>
  <c r="AL190"/>
  <c r="AL193"/>
  <c r="AL185"/>
  <c r="AN189"/>
  <c r="AN190"/>
  <c r="AN193"/>
  <c r="AL108"/>
  <c r="AL110"/>
  <c r="AL112"/>
  <c r="AL114"/>
  <c r="Y105"/>
  <c r="U106" s="1"/>
  <c r="AL113"/>
  <c r="Y102"/>
  <c r="AL109"/>
  <c r="AH12"/>
  <c r="Y12" s="1"/>
  <c r="U13" s="1"/>
  <c r="AG34"/>
  <c r="AG40"/>
  <c r="AH66"/>
  <c r="Y66" s="1"/>
  <c r="AG113"/>
  <c r="AH140"/>
  <c r="Y140" s="1"/>
  <c r="U141" s="1"/>
  <c r="AG163"/>
  <c r="AG11"/>
  <c r="AH38"/>
  <c r="AH107"/>
  <c r="Y107" s="1"/>
  <c r="U108" s="1"/>
  <c r="AG140"/>
  <c r="AH165"/>
  <c r="AH188"/>
  <c r="Y188" s="1"/>
  <c r="U189" s="1"/>
  <c r="AH33"/>
  <c r="AH61"/>
  <c r="Y61" s="1"/>
  <c r="U62" s="1"/>
  <c r="AH111"/>
  <c r="Y111" s="1"/>
  <c r="U112" s="1"/>
  <c r="AG137"/>
  <c r="AI163"/>
  <c r="AH190"/>
  <c r="Y190" s="1"/>
  <c r="U191" s="1"/>
  <c r="AH86" i="5"/>
  <c r="AK86"/>
  <c r="AR95" s="1"/>
  <c r="AI25"/>
  <c r="B63" s="1"/>
  <c r="AK25"/>
  <c r="E63" s="1"/>
  <c r="BJ23"/>
  <c r="BT23"/>
  <c r="B35" s="1"/>
  <c r="BR10"/>
  <c r="BR3"/>
  <c r="BJ16"/>
  <c r="BT16"/>
  <c r="B28" s="1"/>
  <c r="O112" i="1"/>
  <c r="J112"/>
  <c r="R101"/>
  <c r="H102" s="1"/>
  <c r="O102"/>
  <c r="R85"/>
  <c r="O86"/>
  <c r="H86"/>
  <c r="R83"/>
  <c r="H84" s="1"/>
  <c r="O84"/>
  <c r="N53" i="7"/>
  <c r="M52"/>
  <c r="M53" s="1"/>
  <c r="V53" s="1"/>
  <c r="B21" i="6" s="1"/>
  <c r="B21" i="2" s="1"/>
  <c r="AH86" i="6"/>
  <c r="AK86"/>
  <c r="AR95" s="1"/>
  <c r="E6" i="2"/>
  <c r="E9" i="6"/>
  <c r="C13" i="10"/>
  <c r="C11"/>
  <c r="BR9" i="5"/>
  <c r="BJ22"/>
  <c r="BR4"/>
  <c r="BJ17"/>
  <c r="BT17" s="1"/>
  <c r="B29" s="1"/>
  <c r="Q108" i="1"/>
  <c r="R89"/>
  <c r="O90"/>
  <c r="H90"/>
  <c r="J15"/>
  <c r="F16"/>
  <c r="F19"/>
  <c r="J16"/>
  <c r="F18"/>
  <c r="F21"/>
  <c r="O7"/>
  <c r="C54"/>
  <c r="C57"/>
  <c r="C59"/>
  <c r="J66"/>
  <c r="C70"/>
  <c r="C72"/>
  <c r="S1" i="5"/>
  <c r="C55" i="1"/>
  <c r="C60"/>
  <c r="C63"/>
  <c r="C66"/>
  <c r="C71"/>
  <c r="C75"/>
  <c r="C77"/>
  <c r="C53"/>
  <c r="C61"/>
  <c r="C58"/>
  <c r="C64"/>
  <c r="O67"/>
  <c r="L67" s="1"/>
  <c r="J60"/>
  <c r="C65"/>
  <c r="C76"/>
  <c r="S1" i="6"/>
  <c r="S1" i="2"/>
  <c r="AG6"/>
  <c r="AG7"/>
  <c r="AG8"/>
  <c r="AG13"/>
  <c r="AG19"/>
  <c r="AG23"/>
  <c r="AG4"/>
  <c r="AI4" s="1"/>
  <c r="AG10"/>
  <c r="AG11"/>
  <c r="AG17"/>
  <c r="AG21"/>
  <c r="AG3"/>
  <c r="AK3" s="1"/>
  <c r="AG14"/>
  <c r="AG16"/>
  <c r="AG24"/>
  <c r="AG26"/>
  <c r="AG3" i="5"/>
  <c r="AK3" s="1"/>
  <c r="E41" s="1"/>
  <c r="AG9"/>
  <c r="AG23"/>
  <c r="AG20" i="2"/>
  <c r="AG22"/>
  <c r="AG25"/>
  <c r="AG5" i="5"/>
  <c r="AG12"/>
  <c r="AG13"/>
  <c r="AG15"/>
  <c r="AG16"/>
  <c r="AG19"/>
  <c r="AG21"/>
  <c r="AG4"/>
  <c r="AK4" s="1"/>
  <c r="E42" s="1"/>
  <c r="AG10"/>
  <c r="AG14"/>
  <c r="AG6" i="6"/>
  <c r="AG7"/>
  <c r="AG8"/>
  <c r="AG9"/>
  <c r="AG12"/>
  <c r="AG14"/>
  <c r="AG15"/>
  <c r="AG17"/>
  <c r="AG22"/>
  <c r="AG24"/>
  <c r="AG26"/>
  <c r="AG15" i="2"/>
  <c r="AG6" i="5"/>
  <c r="AG7"/>
  <c r="AG8"/>
  <c r="AG11"/>
  <c r="AG17"/>
  <c r="AG18"/>
  <c r="AG20"/>
  <c r="AG24"/>
  <c r="AG26"/>
  <c r="AG4" i="6"/>
  <c r="AK4" s="1"/>
  <c r="E42" s="1"/>
  <c r="E42" i="2" s="1"/>
  <c r="D138" i="7" s="1"/>
  <c r="I138" s="1"/>
  <c r="AG11" i="6"/>
  <c r="AG18"/>
  <c r="AG19"/>
  <c r="AG20"/>
  <c r="AG5" i="2"/>
  <c r="AG12"/>
  <c r="AP61" i="8"/>
  <c r="AP68"/>
  <c r="AP70"/>
  <c r="AP72"/>
  <c r="AP75"/>
  <c r="AP62"/>
  <c r="AP66"/>
  <c r="AP69"/>
  <c r="AP71"/>
  <c r="AP76"/>
  <c r="AP64"/>
  <c r="AP73"/>
  <c r="AQ86" i="2"/>
  <c r="AW86"/>
  <c r="AX86" s="1"/>
  <c r="BL17"/>
  <c r="G75" i="7"/>
  <c r="K75" s="1"/>
  <c r="E65"/>
  <c r="F36"/>
  <c r="H21"/>
  <c r="H19"/>
  <c r="J18"/>
  <c r="F17"/>
  <c r="F15"/>
  <c r="J11"/>
  <c r="R113" i="6"/>
  <c r="R117" s="1"/>
  <c r="E32"/>
  <c r="E32" i="2" s="1"/>
  <c r="AU29" i="6"/>
  <c r="AU30" s="1"/>
  <c r="BR26"/>
  <c r="AK21"/>
  <c r="E59" s="1"/>
  <c r="E59" i="2" s="1"/>
  <c r="D155" i="7" s="1"/>
  <c r="H155" s="1"/>
  <c r="M20" i="6"/>
  <c r="M20" i="2" s="1"/>
  <c r="AK16" i="6"/>
  <c r="E54" s="1"/>
  <c r="E54" i="2" s="1"/>
  <c r="D150" i="7" s="1"/>
  <c r="I150" s="1"/>
  <c r="AK13" i="6"/>
  <c r="E51" s="1"/>
  <c r="E51" i="2" s="1"/>
  <c r="D147" i="7" s="1"/>
  <c r="H147" s="1"/>
  <c r="AK10" i="6"/>
  <c r="E48" s="1"/>
  <c r="E48" i="2" s="1"/>
  <c r="D144" i="7" s="1"/>
  <c r="I144" s="1"/>
  <c r="BR8" i="6"/>
  <c r="AL194" i="10"/>
  <c r="AL187"/>
  <c r="AH137"/>
  <c r="Y137" s="1"/>
  <c r="U138" s="1"/>
  <c r="Y106"/>
  <c r="U107" s="1"/>
  <c r="AG12"/>
  <c r="M22" i="5"/>
  <c r="R3" i="1"/>
  <c r="AG9" i="2"/>
  <c r="AI16"/>
  <c r="AK16"/>
  <c r="AI14"/>
  <c r="AK14"/>
  <c r="C8" i="10"/>
  <c r="C9"/>
  <c r="C10"/>
  <c r="S48" i="5"/>
  <c r="S49"/>
  <c r="BJ24"/>
  <c r="BT24"/>
  <c r="B36" s="1"/>
  <c r="AW12"/>
  <c r="AU14"/>
  <c r="J115" i="1"/>
  <c r="O115"/>
  <c r="R112"/>
  <c r="J113" s="1"/>
  <c r="O113"/>
  <c r="R103"/>
  <c r="H104" s="1"/>
  <c r="O104"/>
  <c r="R95"/>
  <c r="H96" s="1"/>
  <c r="O96"/>
  <c r="R87"/>
  <c r="H88" s="1"/>
  <c r="O88"/>
  <c r="AG104" i="8"/>
  <c r="AR93" i="2"/>
  <c r="AT93" s="1"/>
  <c r="AU93" s="1"/>
  <c r="BJ21"/>
  <c r="BR8"/>
  <c r="BR21" s="1"/>
  <c r="BT22"/>
  <c r="AU9"/>
  <c r="AV11"/>
  <c r="AV12" s="1"/>
  <c r="AT11"/>
  <c r="AT12" s="1"/>
  <c r="F65" i="7"/>
  <c r="F63"/>
  <c r="F58"/>
  <c r="F54"/>
  <c r="AL141" i="10"/>
  <c r="AL60"/>
  <c r="AL59"/>
  <c r="C6"/>
  <c r="U10" i="5"/>
  <c r="AI4"/>
  <c r="B42" s="1"/>
  <c r="Y129" i="10"/>
  <c r="Y133"/>
  <c r="U134" s="1"/>
  <c r="Y57"/>
  <c r="U58" s="1"/>
  <c r="P21"/>
  <c r="Q30"/>
  <c r="Q156"/>
  <c r="AR93" i="5"/>
  <c r="AT93" s="1"/>
  <c r="AU93" s="1"/>
  <c r="R116" i="1"/>
  <c r="O117" s="1"/>
  <c r="J111"/>
  <c r="O111"/>
  <c r="R99"/>
  <c r="H100" s="1"/>
  <c r="O100"/>
  <c r="R91"/>
  <c r="H92" s="1"/>
  <c r="O92"/>
  <c r="R57" i="2"/>
  <c r="T57"/>
  <c r="AI35"/>
  <c r="AK35"/>
  <c r="AY27"/>
  <c r="AW30"/>
  <c r="AU32"/>
  <c r="AY29"/>
  <c r="AI26"/>
  <c r="AK26"/>
  <c r="BA30" i="5"/>
  <c r="B21" s="1"/>
  <c r="BN4" i="2"/>
  <c r="U6" i="8"/>
  <c r="S11" s="1"/>
  <c r="C25" i="1"/>
  <c r="O50"/>
  <c r="F25" s="1"/>
  <c r="J11" i="3"/>
  <c r="K10"/>
  <c r="I69" i="8"/>
  <c r="J67"/>
  <c r="AK92" i="2"/>
  <c r="AB113" s="1"/>
  <c r="AE113" s="1"/>
  <c r="AJ113" s="1"/>
  <c r="AG92"/>
  <c r="AJ94" s="1"/>
  <c r="AI24"/>
  <c r="AK24"/>
  <c r="AU32" i="5"/>
  <c r="H103" i="1"/>
  <c r="H99"/>
  <c r="H95"/>
  <c r="H91"/>
  <c r="H87"/>
  <c r="H83"/>
  <c r="O45"/>
  <c r="O41"/>
  <c r="O37"/>
  <c r="Q15"/>
  <c r="L9"/>
  <c r="R113" i="2"/>
  <c r="R117" s="1"/>
  <c r="H105" i="1"/>
  <c r="H101"/>
  <c r="H97"/>
  <c r="H93"/>
  <c r="H89"/>
  <c r="H85"/>
  <c r="O43"/>
  <c r="O39"/>
  <c r="F20"/>
  <c r="BJ25" i="2"/>
  <c r="BT26"/>
  <c r="AW11"/>
  <c r="BA15"/>
  <c r="AU11"/>
  <c r="AU12" s="1"/>
  <c r="AY11"/>
  <c r="AX17"/>
  <c r="AO58" i="8"/>
  <c r="AK20" i="2"/>
  <c r="AK15"/>
  <c r="AK9"/>
  <c r="BR5"/>
  <c r="BR18" s="1"/>
  <c r="AG27"/>
  <c r="AI27" s="1"/>
  <c r="AG30"/>
  <c r="AG33"/>
  <c r="AH109"/>
  <c r="AG28"/>
  <c r="AG31"/>
  <c r="AG34"/>
  <c r="AG36"/>
  <c r="AB38" i="8"/>
  <c r="AB37"/>
  <c r="AE104" i="2"/>
  <c r="AW89"/>
  <c r="AX89" s="1"/>
  <c r="AQ89"/>
  <c r="AK85"/>
  <c r="AR94" s="1"/>
  <c r="AT94" s="1"/>
  <c r="AU94" s="1"/>
  <c r="AH85"/>
  <c r="AK12" i="8"/>
  <c r="AO6" s="1"/>
  <c r="BA36" i="2"/>
  <c r="AH36" i="10" l="1"/>
  <c r="Y36" s="1"/>
  <c r="U37" s="1"/>
  <c r="AG38"/>
  <c r="AG165"/>
  <c r="AH15"/>
  <c r="Y15" s="1"/>
  <c r="U16" s="1"/>
  <c r="AI33"/>
  <c r="AH162"/>
  <c r="Y162" s="1"/>
  <c r="U163" s="1"/>
  <c r="AG187"/>
  <c r="AH63"/>
  <c r="Y63" s="1"/>
  <c r="U64" s="1"/>
  <c r="AG194"/>
  <c r="AH113"/>
  <c r="Y113" s="1"/>
  <c r="U114" s="1"/>
  <c r="AG135"/>
  <c r="AG138"/>
  <c r="AH141"/>
  <c r="Y141" s="1"/>
  <c r="Y142" s="1"/>
  <c r="AG193"/>
  <c r="I67" i="8"/>
  <c r="I68"/>
  <c r="J69"/>
  <c r="J70"/>
  <c r="J74"/>
  <c r="I70"/>
  <c r="J71"/>
  <c r="J72"/>
  <c r="J75"/>
  <c r="I72"/>
  <c r="I75"/>
  <c r="J68"/>
  <c r="I76"/>
  <c r="BN18" i="6"/>
  <c r="BN6"/>
  <c r="BR21" i="5"/>
  <c r="E33"/>
  <c r="AG60" i="10"/>
  <c r="AH167"/>
  <c r="Y167" s="1"/>
  <c r="AG112"/>
  <c r="AH37"/>
  <c r="AH166"/>
  <c r="AG141"/>
  <c r="AG59"/>
  <c r="AH16"/>
  <c r="Y16" s="1"/>
  <c r="AI158"/>
  <c r="AH134"/>
  <c r="Y134" s="1"/>
  <c r="U135" s="1"/>
  <c r="AG107"/>
  <c r="AH60"/>
  <c r="Y60" s="1"/>
  <c r="U61" s="1"/>
  <c r="AG36"/>
  <c r="AG13"/>
  <c r="AH59"/>
  <c r="Y59" s="1"/>
  <c r="U60" s="1"/>
  <c r="AH109"/>
  <c r="Y109" s="1"/>
  <c r="U110" s="1"/>
  <c r="AG134"/>
  <c r="AY29" i="6"/>
  <c r="AY29" i="5"/>
  <c r="E21" s="1"/>
  <c r="AK4" i="2"/>
  <c r="J76" i="8"/>
  <c r="J73"/>
  <c r="AG37" i="10"/>
  <c r="AG110"/>
  <c r="AG185"/>
  <c r="AI193"/>
  <c r="R17" i="5"/>
  <c r="AH193" i="10"/>
  <c r="Y193" s="1"/>
  <c r="U194" s="1"/>
  <c r="AH187"/>
  <c r="Y187" s="1"/>
  <c r="U188" s="1"/>
  <c r="AH160"/>
  <c r="AH135"/>
  <c r="Y135" s="1"/>
  <c r="U136" s="1"/>
  <c r="AG63"/>
  <c r="AH39"/>
  <c r="AH13"/>
  <c r="Y13" s="1"/>
  <c r="U14" s="1"/>
  <c r="AH185"/>
  <c r="Y185" s="1"/>
  <c r="U186" s="1"/>
  <c r="AH158"/>
  <c r="AH114"/>
  <c r="Y114" s="1"/>
  <c r="AH65"/>
  <c r="Y65" s="1"/>
  <c r="U66" s="1"/>
  <c r="AH34"/>
  <c r="AG166"/>
  <c r="AG160"/>
  <c r="AH136"/>
  <c r="Y136" s="1"/>
  <c r="U137" s="1"/>
  <c r="AG109"/>
  <c r="AH62"/>
  <c r="Y62" s="1"/>
  <c r="U63" s="1"/>
  <c r="AI37"/>
  <c r="AG15"/>
  <c r="U88"/>
  <c r="AG39"/>
  <c r="Y86"/>
  <c r="U87" s="1"/>
  <c r="AI166"/>
  <c r="AH14"/>
  <c r="Y14" s="1"/>
  <c r="U15" s="1"/>
  <c r="AG114"/>
  <c r="AH164"/>
  <c r="AG190"/>
  <c r="Y82"/>
  <c r="AY27" i="5"/>
  <c r="AI27" i="6"/>
  <c r="B65" s="1"/>
  <c r="B65" i="2" s="1"/>
  <c r="BR24" i="6"/>
  <c r="E36"/>
  <c r="E36" i="2" s="1"/>
  <c r="I73" i="8"/>
  <c r="I71"/>
  <c r="AG186" i="10"/>
  <c r="AH191"/>
  <c r="Y191" s="1"/>
  <c r="U192" s="1"/>
  <c r="AH159"/>
  <c r="AG62"/>
  <c r="AH192"/>
  <c r="Y192" s="1"/>
  <c r="U193" s="1"/>
  <c r="AG108"/>
  <c r="AG164"/>
  <c r="AG188"/>
  <c r="AG16"/>
  <c r="AI185"/>
  <c r="AG191"/>
  <c r="I74" i="8"/>
  <c r="BA30" i="2"/>
  <c r="AI3"/>
  <c r="AH35" i="10"/>
  <c r="AH108"/>
  <c r="Y108" s="1"/>
  <c r="U109" s="1"/>
  <c r="AG159"/>
  <c r="AG192"/>
  <c r="I162" i="7"/>
  <c r="AH194" i="10"/>
  <c r="Y194" s="1"/>
  <c r="AH189"/>
  <c r="Y189" s="1"/>
  <c r="U190" s="1"/>
  <c r="AG161"/>
  <c r="AG136"/>
  <c r="AH110"/>
  <c r="Y110" s="1"/>
  <c r="U111" s="1"/>
  <c r="AH40"/>
  <c r="Y40" s="1"/>
  <c r="AG14"/>
  <c r="AH186"/>
  <c r="Y186" s="1"/>
  <c r="U187" s="1"/>
  <c r="AI162"/>
  <c r="AH139"/>
  <c r="Y139" s="1"/>
  <c r="U140" s="1"/>
  <c r="AG66"/>
  <c r="AG35"/>
  <c r="AG167"/>
  <c r="AG162"/>
  <c r="AH138"/>
  <c r="Y138" s="1"/>
  <c r="U139" s="1"/>
  <c r="AG111"/>
  <c r="AH64"/>
  <c r="Y64" s="1"/>
  <c r="U65" s="1"/>
  <c r="AI38"/>
  <c r="AG33"/>
  <c r="AG64"/>
  <c r="AH163"/>
  <c r="AI190"/>
  <c r="BR23" i="6"/>
  <c r="AH11" i="10"/>
  <c r="Y11" s="1"/>
  <c r="U12" s="1"/>
  <c r="AH112"/>
  <c r="Y112" s="1"/>
  <c r="U113" s="1"/>
  <c r="AH161"/>
  <c r="AG189"/>
  <c r="Y85"/>
  <c r="U86" s="1"/>
  <c r="R122" i="2"/>
  <c r="R126"/>
  <c r="R130"/>
  <c r="R134"/>
  <c r="R120"/>
  <c r="R124"/>
  <c r="R128"/>
  <c r="R132"/>
  <c r="R125"/>
  <c r="R133"/>
  <c r="R123"/>
  <c r="R131"/>
  <c r="R129"/>
  <c r="R121"/>
  <c r="R127"/>
  <c r="R135"/>
  <c r="R119"/>
  <c r="Y17" i="10"/>
  <c r="U17"/>
  <c r="Y115"/>
  <c r="U115"/>
  <c r="U195"/>
  <c r="Y195"/>
  <c r="AU33" i="2"/>
  <c r="AW32"/>
  <c r="AB96" i="5"/>
  <c r="AB98"/>
  <c r="G5" i="6"/>
  <c r="G5" i="2" s="1"/>
  <c r="G13" i="6"/>
  <c r="G13" i="2" s="1"/>
  <c r="B40" i="6"/>
  <c r="B40" i="2" s="1"/>
  <c r="AI88" i="6"/>
  <c r="AK89"/>
  <c r="M11"/>
  <c r="M11" i="2" s="1"/>
  <c r="G30" i="6"/>
  <c r="G30" i="2" s="1"/>
  <c r="G43" i="6"/>
  <c r="G43" i="2" s="1"/>
  <c r="AB86" i="6"/>
  <c r="AJ86" s="1"/>
  <c r="G8" s="1"/>
  <c r="G8" i="2" s="1"/>
  <c r="AB87" i="6"/>
  <c r="AK88"/>
  <c r="AI89"/>
  <c r="AS95"/>
  <c r="AT95" s="1"/>
  <c r="AU95" s="1"/>
  <c r="B5"/>
  <c r="B5" i="2" s="1"/>
  <c r="G34" i="6"/>
  <c r="G34" i="2" s="1"/>
  <c r="AB85" i="6"/>
  <c r="AJ85" s="1"/>
  <c r="G7" s="1"/>
  <c r="G7" i="2" s="1"/>
  <c r="AI87" i="6"/>
  <c r="AA104"/>
  <c r="B3"/>
  <c r="B3" i="2" s="1"/>
  <c r="G11" i="6"/>
  <c r="G11" i="2" s="1"/>
  <c r="G15" i="6"/>
  <c r="G15" i="2" s="1"/>
  <c r="G18" i="6"/>
  <c r="G18" i="2" s="1"/>
  <c r="AN86" i="6"/>
  <c r="B27"/>
  <c r="B27" i="2" s="1"/>
  <c r="AK87" i="6"/>
  <c r="AS96"/>
  <c r="AA102"/>
  <c r="B5" i="5"/>
  <c r="G11"/>
  <c r="G18"/>
  <c r="B40"/>
  <c r="AI88"/>
  <c r="AK89"/>
  <c r="B3"/>
  <c r="G34"/>
  <c r="G43"/>
  <c r="AB86"/>
  <c r="AJ86" s="1"/>
  <c r="G8" s="1"/>
  <c r="AB87"/>
  <c r="AK88"/>
  <c r="AI89"/>
  <c r="AS95"/>
  <c r="AT95" s="1"/>
  <c r="AU95" s="1"/>
  <c r="G13"/>
  <c r="G15"/>
  <c r="AA102"/>
  <c r="AK87"/>
  <c r="AS96"/>
  <c r="G30"/>
  <c r="AN86"/>
  <c r="G5"/>
  <c r="AB85"/>
  <c r="AJ85" s="1"/>
  <c r="G7" s="1"/>
  <c r="M11"/>
  <c r="AI87"/>
  <c r="AA104"/>
  <c r="BR16"/>
  <c r="E28"/>
  <c r="AO28" i="8"/>
  <c r="AO8"/>
  <c r="AO10" s="1"/>
  <c r="M10" i="7"/>
  <c r="M11" s="1"/>
  <c r="Q10"/>
  <c r="Q11" s="1"/>
  <c r="N11"/>
  <c r="G76"/>
  <c r="I76"/>
  <c r="J76" s="1"/>
  <c r="E77"/>
  <c r="F76"/>
  <c r="AU14" i="2"/>
  <c r="AW12"/>
  <c r="BA12" s="1"/>
  <c r="R121" i="6"/>
  <c r="H64" s="1"/>
  <c r="H64" i="2" s="1"/>
  <c r="R125" i="6"/>
  <c r="H68" s="1"/>
  <c r="H68" i="2" s="1"/>
  <c r="R129" i="6"/>
  <c r="H72" s="1"/>
  <c r="H72" i="2" s="1"/>
  <c r="R133" i="6"/>
  <c r="H76" s="1"/>
  <c r="H76" i="2" s="1"/>
  <c r="R119" i="6"/>
  <c r="H62" s="1"/>
  <c r="H62" i="2" s="1"/>
  <c r="R123" i="6"/>
  <c r="H66" s="1"/>
  <c r="H66" i="2" s="1"/>
  <c r="R127" i="6"/>
  <c r="H70" s="1"/>
  <c r="H70" i="2" s="1"/>
  <c r="R131" i="6"/>
  <c r="H74" s="1"/>
  <c r="H74" i="2" s="1"/>
  <c r="R135" i="6"/>
  <c r="H78" s="1"/>
  <c r="H78" i="2" s="1"/>
  <c r="R124" i="6"/>
  <c r="H67" s="1"/>
  <c r="H67" i="2" s="1"/>
  <c r="R132" i="6"/>
  <c r="H75" s="1"/>
  <c r="H75" i="2" s="1"/>
  <c r="R120" i="6"/>
  <c r="H63" s="1"/>
  <c r="H63" i="2" s="1"/>
  <c r="R128" i="6"/>
  <c r="H71" s="1"/>
  <c r="H71" i="2" s="1"/>
  <c r="R136" i="6"/>
  <c r="H79" s="1"/>
  <c r="H79" i="2" s="1"/>
  <c r="R126" i="6"/>
  <c r="H69" s="1"/>
  <c r="H69" i="2" s="1"/>
  <c r="R134" i="6"/>
  <c r="H77" s="1"/>
  <c r="H77" i="2" s="1"/>
  <c r="R122" i="6"/>
  <c r="H65" s="1"/>
  <c r="H65" i="2" s="1"/>
  <c r="R130" i="6"/>
  <c r="H73" s="1"/>
  <c r="H73" i="2" s="1"/>
  <c r="I65" i="7"/>
  <c r="J65" s="1"/>
  <c r="G65"/>
  <c r="K65" s="1"/>
  <c r="E66"/>
  <c r="AB85" i="2"/>
  <c r="AJ85" s="1"/>
  <c r="AI87"/>
  <c r="AA102"/>
  <c r="AA104"/>
  <c r="AN86"/>
  <c r="AK87"/>
  <c r="AS96"/>
  <c r="AK88"/>
  <c r="AI88"/>
  <c r="AK89"/>
  <c r="AI89"/>
  <c r="AS95"/>
  <c r="AT95" s="1"/>
  <c r="AU95" s="1"/>
  <c r="AB87"/>
  <c r="AB86"/>
  <c r="AJ86" s="1"/>
  <c r="R108" i="1"/>
  <c r="BR22" i="5"/>
  <c r="E34"/>
  <c r="BR19" i="6"/>
  <c r="E31"/>
  <c r="E31" i="2" s="1"/>
  <c r="BP4" i="6"/>
  <c r="BP16"/>
  <c r="BN6" i="5"/>
  <c r="BN18"/>
  <c r="F41" i="7"/>
  <c r="C14" s="1"/>
  <c r="AK27" i="2"/>
  <c r="AK90"/>
  <c r="AI3" i="5"/>
  <c r="B41" s="1"/>
  <c r="O79" i="1"/>
  <c r="H41" i="7"/>
  <c r="C18" s="1"/>
  <c r="M22" i="6"/>
  <c r="AI4"/>
  <c r="B42" s="1"/>
  <c r="B42" i="2" s="1"/>
  <c r="AQ19" i="8"/>
  <c r="AQ11"/>
  <c r="AV31" s="1"/>
  <c r="AQ14"/>
  <c r="AO14" s="1"/>
  <c r="AQ15"/>
  <c r="AQ16"/>
  <c r="AQ18"/>
  <c r="AO18" s="1"/>
  <c r="AQ17"/>
  <c r="AO17" s="1"/>
  <c r="AQ10"/>
  <c r="AQ13"/>
  <c r="AQ20"/>
  <c r="AO20" s="1"/>
  <c r="AQ22"/>
  <c r="AO22" s="1"/>
  <c r="AV42" s="1"/>
  <c r="AQ12"/>
  <c r="AV32" s="1"/>
  <c r="AQ21"/>
  <c r="BA89" i="2"/>
  <c r="AS89"/>
  <c r="AZ92" i="8"/>
  <c r="AY92"/>
  <c r="AO98"/>
  <c r="AP98" s="1"/>
  <c r="AQ98" s="1"/>
  <c r="AR98" s="1"/>
  <c r="BA92"/>
  <c r="BB92"/>
  <c r="J12" i="3"/>
  <c r="K11"/>
  <c r="BN17" i="2"/>
  <c r="BN5"/>
  <c r="Y29" i="10"/>
  <c r="AL35"/>
  <c r="AL39"/>
  <c r="AL33"/>
  <c r="Y37"/>
  <c r="U38" s="1"/>
  <c r="Y39"/>
  <c r="U40" s="1"/>
  <c r="AL36"/>
  <c r="Y38"/>
  <c r="U39" s="1"/>
  <c r="AN33"/>
  <c r="AL38"/>
  <c r="Y35"/>
  <c r="U36" s="1"/>
  <c r="Y33"/>
  <c r="U34" s="1"/>
  <c r="AL34"/>
  <c r="AN37"/>
  <c r="Y32"/>
  <c r="U33" s="1"/>
  <c r="Y34"/>
  <c r="U35" s="1"/>
  <c r="AL37"/>
  <c r="AN38"/>
  <c r="AL40"/>
  <c r="U142"/>
  <c r="D16"/>
  <c r="D18" s="1"/>
  <c r="H16"/>
  <c r="L16"/>
  <c r="L18" s="1"/>
  <c r="E24" s="1"/>
  <c r="J24" s="1"/>
  <c r="G16"/>
  <c r="M16"/>
  <c r="E16"/>
  <c r="J16"/>
  <c r="N16"/>
  <c r="N18" s="1"/>
  <c r="P24" s="1"/>
  <c r="K16"/>
  <c r="I16"/>
  <c r="F16"/>
  <c r="AW14" i="5"/>
  <c r="AU15"/>
  <c r="BR21" i="6"/>
  <c r="E33"/>
  <c r="E33" i="2" s="1"/>
  <c r="E9"/>
  <c r="E11" i="6"/>
  <c r="E12"/>
  <c r="E12" i="2" s="1"/>
  <c r="AW32" i="5"/>
  <c r="AU33"/>
  <c r="AL159" i="10"/>
  <c r="AL161"/>
  <c r="AL165"/>
  <c r="Y159"/>
  <c r="U160" s="1"/>
  <c r="Y163"/>
  <c r="U164" s="1"/>
  <c r="AN163"/>
  <c r="AL164"/>
  <c r="Y158"/>
  <c r="U159" s="1"/>
  <c r="AN162"/>
  <c r="Y164"/>
  <c r="U165" s="1"/>
  <c r="Y165"/>
  <c r="U166" s="1"/>
  <c r="AL166"/>
  <c r="Y155"/>
  <c r="Y161"/>
  <c r="U162" s="1"/>
  <c r="AL162"/>
  <c r="AN158"/>
  <c r="AL160"/>
  <c r="AL163"/>
  <c r="AN166"/>
  <c r="AL158"/>
  <c r="Y160"/>
  <c r="U161" s="1"/>
  <c r="Y166"/>
  <c r="U167" s="1"/>
  <c r="AL167"/>
  <c r="BR17" i="5"/>
  <c r="E29"/>
  <c r="BR23"/>
  <c r="E35"/>
  <c r="U67" i="10"/>
  <c r="Y67"/>
  <c r="E41" i="2"/>
  <c r="AY27" i="6"/>
  <c r="AW30"/>
  <c r="AU32"/>
  <c r="J41" i="7"/>
  <c r="C22" s="1"/>
  <c r="J117" i="1"/>
  <c r="BR4" i="2"/>
  <c r="BR17" s="1"/>
  <c r="S108" i="1"/>
  <c r="J109" s="1"/>
  <c r="K64" i="7"/>
  <c r="E76" i="5" l="1"/>
  <c r="E78" s="1"/>
  <c r="AO15" i="8"/>
  <c r="T11" i="7"/>
  <c r="B15" i="6" s="1"/>
  <c r="B15" i="2" s="1"/>
  <c r="BN19" i="6"/>
  <c r="BN7"/>
  <c r="AO21" i="8"/>
  <c r="AO13"/>
  <c r="AO16"/>
  <c r="AO19"/>
  <c r="AN20" s="1"/>
  <c r="AW33" i="5"/>
  <c r="AU35"/>
  <c r="AU36" s="1"/>
  <c r="Y41" i="10"/>
  <c r="U41"/>
  <c r="AV40" i="8"/>
  <c r="AN21"/>
  <c r="AB102" i="2"/>
  <c r="AB102" i="5"/>
  <c r="AB102" i="6"/>
  <c r="N13" i="7"/>
  <c r="C15"/>
  <c r="BN7" i="5"/>
  <c r="BN19"/>
  <c r="AR97"/>
  <c r="AT97" s="1"/>
  <c r="AU97" s="1"/>
  <c r="AL88"/>
  <c r="AR98" i="6"/>
  <c r="AT98" s="1"/>
  <c r="AU98" s="1"/>
  <c r="AL89"/>
  <c r="AW33" i="2"/>
  <c r="AU35"/>
  <c r="AU36" s="1"/>
  <c r="AN18" i="8"/>
  <c r="AV37"/>
  <c r="AN15"/>
  <c r="AV34"/>
  <c r="M22" i="2"/>
  <c r="AB98" i="6"/>
  <c r="AB96"/>
  <c r="AL88" i="2"/>
  <c r="AJ88" s="1"/>
  <c r="AR97"/>
  <c r="AT97" s="1"/>
  <c r="AU97" s="1"/>
  <c r="F66" i="7"/>
  <c r="I66"/>
  <c r="J66" s="1"/>
  <c r="G66"/>
  <c r="K66" s="1"/>
  <c r="E67"/>
  <c r="I77"/>
  <c r="J77" s="1"/>
  <c r="E78"/>
  <c r="G77"/>
  <c r="K77" s="1"/>
  <c r="F77"/>
  <c r="AJ87" i="6"/>
  <c r="AD96" i="5"/>
  <c r="AJ96" s="1"/>
  <c r="G24" s="1"/>
  <c r="M24"/>
  <c r="Y168" i="10"/>
  <c r="U168"/>
  <c r="E11" i="2"/>
  <c r="E13" i="6"/>
  <c r="H18" i="10"/>
  <c r="I18"/>
  <c r="F18"/>
  <c r="D29" s="1"/>
  <c r="I29" s="1"/>
  <c r="K18"/>
  <c r="E18"/>
  <c r="E28" s="1"/>
  <c r="I28" s="1"/>
  <c r="M18"/>
  <c r="J18"/>
  <c r="G18"/>
  <c r="D30" s="1"/>
  <c r="I30" s="1"/>
  <c r="BN18" i="2"/>
  <c r="BT18" s="1"/>
  <c r="BN6"/>
  <c r="AO25" i="8"/>
  <c r="AV30"/>
  <c r="AN16"/>
  <c r="AV35"/>
  <c r="BP5" i="6"/>
  <c r="BP17"/>
  <c r="BT17" s="1"/>
  <c r="B29" s="1"/>
  <c r="B29" i="2" s="1"/>
  <c r="BR4" i="6"/>
  <c r="AJ87" i="2"/>
  <c r="BA86"/>
  <c r="AS86"/>
  <c r="AS86" i="5"/>
  <c r="BA86"/>
  <c r="G9" s="1"/>
  <c r="AR98"/>
  <c r="AT98" s="1"/>
  <c r="AU98" s="1"/>
  <c r="AL89"/>
  <c r="AJ89" s="1"/>
  <c r="G14" s="1"/>
  <c r="AS86" i="6"/>
  <c r="BA86"/>
  <c r="G9" s="1"/>
  <c r="G9" i="2" s="1"/>
  <c r="AR97" i="6"/>
  <c r="AT97" s="1"/>
  <c r="AU97" s="1"/>
  <c r="AL88"/>
  <c r="AE98" i="5"/>
  <c r="AB100"/>
  <c r="O109" i="1"/>
  <c r="AV38" i="8"/>
  <c r="AN19"/>
  <c r="AU33" i="6"/>
  <c r="AW32"/>
  <c r="D137" i="7"/>
  <c r="AU17" i="5"/>
  <c r="AU18" s="1"/>
  <c r="AW15"/>
  <c r="AL87" i="6"/>
  <c r="AN87" s="1"/>
  <c r="G10" s="1"/>
  <c r="G10" i="2" s="1"/>
  <c r="AR96" i="6"/>
  <c r="AT96" s="1"/>
  <c r="AU96" s="1"/>
  <c r="AV93" s="1"/>
  <c r="J13" i="3"/>
  <c r="K12"/>
  <c r="AV41" i="8"/>
  <c r="AN22"/>
  <c r="AN14"/>
  <c r="AV33"/>
  <c r="AN17"/>
  <c r="AV36"/>
  <c r="AL89" i="2"/>
  <c r="AJ89" s="1"/>
  <c r="AR98"/>
  <c r="AT98" s="1"/>
  <c r="AU98" s="1"/>
  <c r="AR96"/>
  <c r="AT96" s="1"/>
  <c r="AU96" s="1"/>
  <c r="AL87"/>
  <c r="AN87" s="1"/>
  <c r="AW14"/>
  <c r="AU15"/>
  <c r="AL87" i="5"/>
  <c r="AR96"/>
  <c r="AT96" s="1"/>
  <c r="AU96" s="1"/>
  <c r="AK90"/>
  <c r="AJ87"/>
  <c r="AN87"/>
  <c r="G10" s="1"/>
  <c r="AJ88"/>
  <c r="G12" s="1"/>
  <c r="AK90" i="6"/>
  <c r="O121" i="1"/>
  <c r="K76" i="7"/>
  <c r="AJ89" i="6"/>
  <c r="G14" s="1"/>
  <c r="G14" i="2" s="1"/>
  <c r="AJ88" i="6"/>
  <c r="G12" s="1"/>
  <c r="G12" i="2" s="1"/>
  <c r="AV39" i="8" l="1"/>
  <c r="E77" i="5"/>
  <c r="E79" s="1"/>
  <c r="AV93"/>
  <c r="BN20" i="6"/>
  <c r="BN8"/>
  <c r="AW93"/>
  <c r="M6"/>
  <c r="M6" i="2" s="1"/>
  <c r="AV94" i="6"/>
  <c r="M6" i="5"/>
  <c r="AW93"/>
  <c r="AV94"/>
  <c r="AV95"/>
  <c r="AV96" s="1"/>
  <c r="H137" i="7"/>
  <c r="H162" s="1"/>
  <c r="H165" s="1"/>
  <c r="D162"/>
  <c r="E166" s="1"/>
  <c r="BP6" i="6"/>
  <c r="BP18"/>
  <c r="O3" i="8"/>
  <c r="F2"/>
  <c r="D3" s="1"/>
  <c r="X43" i="2"/>
  <c r="X43" i="6"/>
  <c r="X43" i="5"/>
  <c r="AE98" i="6"/>
  <c r="AB100"/>
  <c r="AK102"/>
  <c r="M31" s="1"/>
  <c r="M31" i="2" s="1"/>
  <c r="AE102" i="6"/>
  <c r="AJ102" s="1"/>
  <c r="G31" s="1"/>
  <c r="G31" i="2" s="1"/>
  <c r="J14" i="3"/>
  <c r="K13"/>
  <c r="AF98" i="5"/>
  <c r="AJ98" s="1"/>
  <c r="G25" s="1"/>
  <c r="AK98"/>
  <c r="M25" s="1"/>
  <c r="M27" s="1"/>
  <c r="E13" i="2"/>
  <c r="G78" i="7"/>
  <c r="F78"/>
  <c r="E79"/>
  <c r="I78"/>
  <c r="J78" s="1"/>
  <c r="AD96" i="6"/>
  <c r="AJ96" s="1"/>
  <c r="G24" s="1"/>
  <c r="G24" i="2" s="1"/>
  <c r="M24" i="6"/>
  <c r="N14" i="7"/>
  <c r="T14" s="1"/>
  <c r="B16" i="6" s="1"/>
  <c r="B16" i="2" s="1"/>
  <c r="R13" i="7"/>
  <c r="AV93" i="2"/>
  <c r="AU35" i="6"/>
  <c r="AU36" s="1"/>
  <c r="AW33"/>
  <c r="AE100" i="5"/>
  <c r="AJ100" s="1"/>
  <c r="G26" s="1"/>
  <c r="AK100"/>
  <c r="M26" s="1"/>
  <c r="BR17" i="6"/>
  <c r="E29"/>
  <c r="E29" i="2" s="1"/>
  <c r="AE102"/>
  <c r="AJ102" s="1"/>
  <c r="AK102"/>
  <c r="P2"/>
  <c r="B4" s="1"/>
  <c r="P2" i="6"/>
  <c r="P2" i="5"/>
  <c r="AW15" i="2"/>
  <c r="AU17"/>
  <c r="AU18" s="1"/>
  <c r="BN19"/>
  <c r="BN7"/>
  <c r="I67" i="7"/>
  <c r="J67" s="1"/>
  <c r="E68"/>
  <c r="G67"/>
  <c r="K67" s="1"/>
  <c r="F67"/>
  <c r="AB98" i="2"/>
  <c r="AB96"/>
  <c r="AD96" s="1"/>
  <c r="AJ96" s="1"/>
  <c r="BN8" i="5"/>
  <c r="BN20"/>
  <c r="AK102"/>
  <c r="M31" s="1"/>
  <c r="AE102"/>
  <c r="AJ102" s="1"/>
  <c r="G31" s="1"/>
  <c r="BN9" i="6" l="1"/>
  <c r="BN21"/>
  <c r="AW96" i="5"/>
  <c r="M10"/>
  <c r="BN21"/>
  <c r="BN9"/>
  <c r="BN8" i="2"/>
  <c r="BN20"/>
  <c r="AV94"/>
  <c r="AW94" s="1"/>
  <c r="AW93"/>
  <c r="AB100"/>
  <c r="AE98"/>
  <c r="AW11" i="6"/>
  <c r="N17" i="7"/>
  <c r="N18" s="1"/>
  <c r="E16" i="6"/>
  <c r="R14" i="7"/>
  <c r="R18"/>
  <c r="N21"/>
  <c r="AB106" i="2"/>
  <c r="AB106" i="5"/>
  <c r="AB106" i="6"/>
  <c r="AW94" i="5"/>
  <c r="M7"/>
  <c r="AW94" i="6"/>
  <c r="M7"/>
  <c r="M7" i="2" s="1"/>
  <c r="AV95" i="6"/>
  <c r="M24" i="2"/>
  <c r="AE100" i="6"/>
  <c r="AJ100" s="1"/>
  <c r="G26" s="1"/>
  <c r="G26" i="2" s="1"/>
  <c r="AK100" i="6"/>
  <c r="M26" s="1"/>
  <c r="M26" i="2" s="1"/>
  <c r="BP7" i="6"/>
  <c r="BP19"/>
  <c r="M8" i="5"/>
  <c r="AW95"/>
  <c r="M9"/>
  <c r="F79" i="7"/>
  <c r="I79"/>
  <c r="J79" s="1"/>
  <c r="E80"/>
  <c r="G79"/>
  <c r="K79" s="1"/>
  <c r="F68"/>
  <c r="I68"/>
  <c r="J68" s="1"/>
  <c r="E69"/>
  <c r="G68"/>
  <c r="K68" s="1"/>
  <c r="J15" i="3"/>
  <c r="K14"/>
  <c r="AK98" i="6"/>
  <c r="M25" s="1"/>
  <c r="M25" i="2" s="1"/>
  <c r="AF98" i="6"/>
  <c r="AJ98" s="1"/>
  <c r="G25" s="1"/>
  <c r="G25" i="2" s="1"/>
  <c r="K78" i="7"/>
  <c r="AV97" i="5"/>
  <c r="BN22" i="6" l="1"/>
  <c r="BN10"/>
  <c r="G80" i="7"/>
  <c r="E81"/>
  <c r="I80"/>
  <c r="J80" s="1"/>
  <c r="F80"/>
  <c r="AW95" i="6"/>
  <c r="M8"/>
  <c r="M8" i="2" s="1"/>
  <c r="M9" i="6"/>
  <c r="M9" i="2" s="1"/>
  <c r="AV96" i="6"/>
  <c r="AV97" s="1"/>
  <c r="AV98" s="1"/>
  <c r="AK106" i="5"/>
  <c r="M37" s="1"/>
  <c r="AE106"/>
  <c r="AJ106" s="1"/>
  <c r="BP8" i="6"/>
  <c r="BP20"/>
  <c r="AK106"/>
  <c r="M37" s="1"/>
  <c r="M37" i="2" s="1"/>
  <c r="AE106" i="6"/>
  <c r="AJ106" s="1"/>
  <c r="E16" i="2"/>
  <c r="AE100"/>
  <c r="AJ100" s="1"/>
  <c r="AK100"/>
  <c r="BN9"/>
  <c r="BN21"/>
  <c r="J16" i="3"/>
  <c r="K15"/>
  <c r="AK98" i="2"/>
  <c r="AF98"/>
  <c r="AJ98" s="1"/>
  <c r="M27" i="6"/>
  <c r="I69" i="7"/>
  <c r="J69" s="1"/>
  <c r="E70"/>
  <c r="G69"/>
  <c r="F69"/>
  <c r="BN22" i="5"/>
  <c r="BN10"/>
  <c r="AW97"/>
  <c r="M12"/>
  <c r="AK106" i="2"/>
  <c r="AE106"/>
  <c r="AJ106" s="1"/>
  <c r="AW12" i="6"/>
  <c r="AU14"/>
  <c r="AY11"/>
  <c r="AV98" i="5"/>
  <c r="AV95" i="2"/>
  <c r="AV96" s="1"/>
  <c r="AW96" s="1"/>
  <c r="BN23" i="6" l="1"/>
  <c r="BN11"/>
  <c r="AW98"/>
  <c r="M14"/>
  <c r="M14" i="2" s="1"/>
  <c r="AW95"/>
  <c r="BN10"/>
  <c r="BN22"/>
  <c r="BN23" i="5"/>
  <c r="BN11"/>
  <c r="F70" i="7"/>
  <c r="I70"/>
  <c r="J70" s="1"/>
  <c r="G70"/>
  <c r="E71"/>
  <c r="M14" i="5"/>
  <c r="AW98"/>
  <c r="AW100" s="1"/>
  <c r="M27" i="2"/>
  <c r="J17" i="3"/>
  <c r="K16"/>
  <c r="BP9" i="6"/>
  <c r="BP21"/>
  <c r="M10"/>
  <c r="M10" i="2" s="1"/>
  <c r="AW96" i="6"/>
  <c r="K69" i="7"/>
  <c r="K80"/>
  <c r="AW14" i="6"/>
  <c r="AU15"/>
  <c r="AW97"/>
  <c r="M12"/>
  <c r="M12" i="2" s="1"/>
  <c r="I81" i="7"/>
  <c r="J81" s="1"/>
  <c r="E82"/>
  <c r="G81"/>
  <c r="K81" s="1"/>
  <c r="F81"/>
  <c r="AV97" i="2"/>
  <c r="AW97" s="1"/>
  <c r="BN24" i="6" l="1"/>
  <c r="BN12"/>
  <c r="BN11" i="2"/>
  <c r="BN23"/>
  <c r="E80" i="5"/>
  <c r="E81" s="1"/>
  <c r="AB92" s="1"/>
  <c r="M16"/>
  <c r="AW15" i="6"/>
  <c r="AU17"/>
  <c r="AU18" s="1"/>
  <c r="K70" i="7"/>
  <c r="BP10" i="6"/>
  <c r="BP22"/>
  <c r="J18" i="3"/>
  <c r="K17"/>
  <c r="G82" i="7"/>
  <c r="F82"/>
  <c r="E83"/>
  <c r="I82"/>
  <c r="J82" s="1"/>
  <c r="I71"/>
  <c r="J71" s="1"/>
  <c r="E72"/>
  <c r="G71"/>
  <c r="K71" s="1"/>
  <c r="F71"/>
  <c r="BN12" i="5"/>
  <c r="BN24"/>
  <c r="AW100" i="6"/>
  <c r="AV98" i="2"/>
  <c r="AW98" s="1"/>
  <c r="AW100" s="1"/>
  <c r="BN25" i="6" l="1"/>
  <c r="BN13"/>
  <c r="BN26" s="1"/>
  <c r="M16"/>
  <c r="M16" i="2" s="1"/>
  <c r="E75" i="6"/>
  <c r="F83" i="7"/>
  <c r="I83"/>
  <c r="J83" s="1"/>
  <c r="E84"/>
  <c r="G83"/>
  <c r="J19" i="3"/>
  <c r="K18"/>
  <c r="AG92" i="5"/>
  <c r="AJ94" s="1"/>
  <c r="B83" s="1"/>
  <c r="AK92"/>
  <c r="BN13"/>
  <c r="BN26" s="1"/>
  <c r="BN25"/>
  <c r="BP23" i="6"/>
  <c r="BP11"/>
  <c r="BN24" i="2"/>
  <c r="BN12"/>
  <c r="F72" i="7"/>
  <c r="I72"/>
  <c r="J72" s="1"/>
  <c r="E73"/>
  <c r="G72"/>
  <c r="K72" s="1"/>
  <c r="K82"/>
  <c r="J20" i="3" l="1"/>
  <c r="K19"/>
  <c r="BN13" i="2"/>
  <c r="BN26" s="1"/>
  <c r="BN25"/>
  <c r="G84" i="7"/>
  <c r="K84" s="1"/>
  <c r="I84"/>
  <c r="J84" s="1"/>
  <c r="E85"/>
  <c r="F84"/>
  <c r="BP24" i="6"/>
  <c r="BP12"/>
  <c r="E83" i="5"/>
  <c r="AB113"/>
  <c r="AE113" s="1"/>
  <c r="AJ113" s="1"/>
  <c r="E75" i="2"/>
  <c r="R17" s="1"/>
  <c r="R17" i="6"/>
  <c r="K83" i="7"/>
  <c r="I73"/>
  <c r="J73" s="1"/>
  <c r="G73"/>
  <c r="F73"/>
  <c r="E85" i="5" l="1"/>
  <c r="E84"/>
  <c r="I85" i="7"/>
  <c r="J85" s="1"/>
  <c r="E86"/>
  <c r="G85"/>
  <c r="F85"/>
  <c r="J21" i="3"/>
  <c r="K20"/>
  <c r="BP13" i="6"/>
  <c r="BP26" s="1"/>
  <c r="BP25"/>
  <c r="K73" i="7"/>
  <c r="J22" i="3" l="1"/>
  <c r="K21"/>
  <c r="G86" i="7"/>
  <c r="F86"/>
  <c r="E87"/>
  <c r="I86"/>
  <c r="J86" s="1"/>
  <c r="K85"/>
  <c r="F87" l="1"/>
  <c r="I87"/>
  <c r="J87" s="1"/>
  <c r="E88"/>
  <c r="G87"/>
  <c r="K87" s="1"/>
  <c r="J23" i="3"/>
  <c r="K22"/>
  <c r="K86" i="7"/>
  <c r="J24" i="3" l="1"/>
  <c r="K23"/>
  <c r="G88" i="7"/>
  <c r="E89"/>
  <c r="I88"/>
  <c r="J88" s="1"/>
  <c r="F88"/>
  <c r="I89" l="1"/>
  <c r="J89" s="1"/>
  <c r="E90"/>
  <c r="G89"/>
  <c r="F89"/>
  <c r="J25" i="3"/>
  <c r="K24"/>
  <c r="K88" i="7"/>
  <c r="K89" l="1"/>
  <c r="J26" i="3"/>
  <c r="K25"/>
  <c r="G90" i="7"/>
  <c r="F90"/>
  <c r="E91"/>
  <c r="I90"/>
  <c r="J90" s="1"/>
  <c r="F91" l="1"/>
  <c r="I91"/>
  <c r="J91" s="1"/>
  <c r="E92"/>
  <c r="G91"/>
  <c r="J27" i="3"/>
  <c r="K26"/>
  <c r="K90" i="7"/>
  <c r="J28" i="3" l="1"/>
  <c r="K28" s="1"/>
  <c r="K27"/>
  <c r="G92" i="7"/>
  <c r="K92" s="1"/>
  <c r="I92"/>
  <c r="J92" s="1"/>
  <c r="E93"/>
  <c r="F92"/>
  <c r="K91"/>
  <c r="I93" l="1"/>
  <c r="J93" s="1"/>
  <c r="G93"/>
  <c r="F93"/>
  <c r="F97" s="1"/>
  <c r="C54" s="1"/>
  <c r="K93" l="1"/>
  <c r="AF103" i="2"/>
  <c r="AF103" i="5"/>
  <c r="AF103" i="6"/>
  <c r="R54" i="7"/>
  <c r="C58"/>
  <c r="AF104" i="2" l="1"/>
  <c r="AJ104" s="1"/>
  <c r="AK104"/>
  <c r="N62" i="7"/>
  <c r="R59"/>
  <c r="R55"/>
  <c r="V55" s="1"/>
  <c r="B22" i="6" s="1"/>
  <c r="B22" i="2" s="1"/>
  <c r="N58" i="7"/>
  <c r="N59" s="1"/>
  <c r="T54"/>
  <c r="AF104" i="5"/>
  <c r="AJ104" s="1"/>
  <c r="G35" s="1"/>
  <c r="AK104"/>
  <c r="AF104" i="6"/>
  <c r="AJ104" s="1"/>
  <c r="G35" s="1"/>
  <c r="G35" i="2" s="1"/>
  <c r="AK104" i="6"/>
  <c r="AL104" i="5" l="1"/>
  <c r="AM104" s="1"/>
  <c r="M35"/>
  <c r="M39" s="1"/>
  <c r="AB109" s="1"/>
  <c r="AE109" s="1"/>
  <c r="AL104" i="6"/>
  <c r="AM104" s="1"/>
  <c r="M35"/>
  <c r="T55" i="7"/>
  <c r="E22" i="6"/>
  <c r="AL104" i="2"/>
  <c r="AM104" s="1"/>
  <c r="AJ109" i="5" l="1"/>
  <c r="G41" s="1"/>
  <c r="AL109"/>
  <c r="M41" s="1"/>
  <c r="E22" i="2"/>
  <c r="E76" i="6"/>
  <c r="M35" i="2"/>
  <c r="M39" i="6"/>
  <c r="M39" i="2" l="1"/>
  <c r="AB109" s="1"/>
  <c r="AE109" s="1"/>
  <c r="AB109" i="6"/>
  <c r="AE109" s="1"/>
  <c r="M45" i="5"/>
  <c r="M44"/>
  <c r="E76" i="2"/>
  <c r="AB92" i="6"/>
  <c r="AL109" i="2" l="1"/>
  <c r="AJ109"/>
  <c r="R28" i="5"/>
  <c r="R29" s="1"/>
  <c r="T29" s="1"/>
  <c r="G44" s="1"/>
  <c r="M47"/>
  <c r="AJ109" i="6"/>
  <c r="G41" s="1"/>
  <c r="G41" i="2" s="1"/>
  <c r="AL109" i="6"/>
  <c r="M41" s="1"/>
  <c r="AG92"/>
  <c r="AJ94" s="1"/>
  <c r="B83" s="1"/>
  <c r="B83" i="2" s="1"/>
  <c r="AK92" i="6"/>
  <c r="R31" i="5"/>
  <c r="R32" s="1"/>
  <c r="T32" s="1"/>
  <c r="G45" s="1"/>
  <c r="M41" i="2" l="1"/>
  <c r="M45" i="6"/>
  <c r="M45" i="2" s="1"/>
  <c r="M44" i="6"/>
  <c r="R31" s="1"/>
  <c r="R32" s="1"/>
  <c r="T32" s="1"/>
  <c r="G45" s="1"/>
  <c r="G45" i="2" s="1"/>
  <c r="AB113" i="6"/>
  <c r="AE113" s="1"/>
  <c r="AJ113" s="1"/>
  <c r="E83"/>
  <c r="E85" l="1"/>
  <c r="E85" i="2" s="1"/>
  <c r="C8" i="8" s="1"/>
  <c r="G8" s="1"/>
  <c r="E84" i="6"/>
  <c r="E84" i="2" s="1"/>
  <c r="E83"/>
  <c r="M44"/>
  <c r="R28" s="1"/>
  <c r="R29" s="1"/>
  <c r="T29" s="1"/>
  <c r="M47" i="6"/>
  <c r="M47" i="2" s="1"/>
  <c r="E9" i="8" s="1"/>
  <c r="K8" s="1"/>
  <c r="R28" i="6"/>
  <c r="R29" s="1"/>
  <c r="T29" s="1"/>
  <c r="G44" s="1"/>
  <c r="G44" i="2" s="1"/>
  <c r="R31"/>
  <c r="R32" s="1"/>
  <c r="T32" s="1"/>
  <c r="AA6" i="8" l="1"/>
  <c r="AA37" s="1"/>
  <c r="AA39" s="1"/>
  <c r="G9"/>
  <c r="B6" i="10"/>
  <c r="AP57" i="8"/>
  <c r="AP80" s="1"/>
  <c r="AP92" s="1"/>
  <c r="AU96" s="1"/>
  <c r="AO57"/>
  <c r="AO80" s="1"/>
  <c r="AO92" s="1"/>
  <c r="AT96" s="1"/>
  <c r="Q6" i="10" l="1"/>
  <c r="E23"/>
  <c r="J23" s="1"/>
  <c r="Q82"/>
  <c r="Q102"/>
  <c r="Q155"/>
  <c r="Q54"/>
  <c r="Q29"/>
  <c r="Q182"/>
  <c r="Q129"/>
  <c r="AD39" i="8"/>
  <c r="AG39" s="1"/>
  <c r="G61"/>
  <c r="S12"/>
  <c r="T11" s="1"/>
  <c r="W69" i="10" l="1"/>
  <c r="AA69"/>
  <c r="T69" s="1"/>
  <c r="Y69"/>
  <c r="L8" s="1"/>
  <c r="V69"/>
  <c r="M8" s="1"/>
  <c r="AB69"/>
  <c r="H8" s="1"/>
  <c r="Z69"/>
  <c r="X69"/>
  <c r="AC69"/>
  <c r="I8" s="1"/>
  <c r="Y144"/>
  <c r="L11" s="1"/>
  <c r="AC144"/>
  <c r="I11" s="1"/>
  <c r="X144"/>
  <c r="V144"/>
  <c r="M11" s="1"/>
  <c r="AA144"/>
  <c r="T144" s="1"/>
  <c r="AB144"/>
  <c r="H11" s="1"/>
  <c r="Z144"/>
  <c r="W144"/>
  <c r="V170"/>
  <c r="M12" s="1"/>
  <c r="Z170"/>
  <c r="W170"/>
  <c r="AB170"/>
  <c r="H12" s="1"/>
  <c r="Y170"/>
  <c r="L12" s="1"/>
  <c r="X170"/>
  <c r="AC170"/>
  <c r="I12" s="1"/>
  <c r="AA170"/>
  <c r="T170" s="1"/>
  <c r="V19"/>
  <c r="M6" s="1"/>
  <c r="Z19"/>
  <c r="Y19"/>
  <c r="L6" s="1"/>
  <c r="W19"/>
  <c r="AB19"/>
  <c r="H6" s="1"/>
  <c r="AC19"/>
  <c r="I6" s="1"/>
  <c r="AA19"/>
  <c r="T19" s="1"/>
  <c r="X19"/>
  <c r="T19" i="8"/>
  <c r="X19"/>
  <c r="P18" s="1"/>
  <c r="S20"/>
  <c r="W20"/>
  <c r="O19" s="1"/>
  <c r="J19" s="1"/>
  <c r="I19" s="1"/>
  <c r="F20" s="1"/>
  <c r="U21"/>
  <c r="S22"/>
  <c r="W22"/>
  <c r="O21" s="1"/>
  <c r="J21" s="1"/>
  <c r="I21" s="1"/>
  <c r="F22" s="1"/>
  <c r="U23"/>
  <c r="V24"/>
  <c r="N23" s="1"/>
  <c r="V25"/>
  <c r="N24" s="1"/>
  <c r="V26"/>
  <c r="N25" s="1"/>
  <c r="V27"/>
  <c r="N26" s="1"/>
  <c r="U28"/>
  <c r="U29"/>
  <c r="U30"/>
  <c r="T31"/>
  <c r="X31"/>
  <c r="P30" s="1"/>
  <c r="V32"/>
  <c r="N31" s="1"/>
  <c r="V19"/>
  <c r="N18" s="1"/>
  <c r="U20"/>
  <c r="S21"/>
  <c r="W21"/>
  <c r="O20" s="1"/>
  <c r="J20" s="1"/>
  <c r="I20" s="1"/>
  <c r="F21" s="1"/>
  <c r="U22"/>
  <c r="S23"/>
  <c r="W23"/>
  <c r="O22" s="1"/>
  <c r="J22" s="1"/>
  <c r="I22" s="1"/>
  <c r="F23" s="1"/>
  <c r="T24"/>
  <c r="X24"/>
  <c r="P23" s="1"/>
  <c r="T25"/>
  <c r="X25"/>
  <c r="P24" s="1"/>
  <c r="T26"/>
  <c r="X26"/>
  <c r="P25" s="1"/>
  <c r="T27"/>
  <c r="X27"/>
  <c r="P26" s="1"/>
  <c r="S28"/>
  <c r="W28"/>
  <c r="O27" s="1"/>
  <c r="J27" s="1"/>
  <c r="S29"/>
  <c r="W29"/>
  <c r="O28" s="1"/>
  <c r="J28" s="1"/>
  <c r="S30"/>
  <c r="W30"/>
  <c r="O29" s="1"/>
  <c r="J29" s="1"/>
  <c r="V31"/>
  <c r="N30" s="1"/>
  <c r="T32"/>
  <c r="X32"/>
  <c r="P31" s="1"/>
  <c r="W19"/>
  <c r="O18" s="1"/>
  <c r="J18" s="1"/>
  <c r="I18" s="1"/>
  <c r="F19" s="1"/>
  <c r="X20"/>
  <c r="P19" s="1"/>
  <c r="T21"/>
  <c r="X22"/>
  <c r="P21" s="1"/>
  <c r="T23"/>
  <c r="S24"/>
  <c r="S25"/>
  <c r="S26"/>
  <c r="S27"/>
  <c r="X29"/>
  <c r="P28" s="1"/>
  <c r="V30"/>
  <c r="N29" s="1"/>
  <c r="S31"/>
  <c r="U32"/>
  <c r="AD106"/>
  <c r="AG106" s="1"/>
  <c r="U19"/>
  <c r="V20"/>
  <c r="N19" s="1"/>
  <c r="V22"/>
  <c r="N21" s="1"/>
  <c r="X28"/>
  <c r="P27" s="1"/>
  <c r="V29"/>
  <c r="N28" s="1"/>
  <c r="T30"/>
  <c r="S32"/>
  <c r="T22"/>
  <c r="W25"/>
  <c r="O24" s="1"/>
  <c r="J24" s="1"/>
  <c r="I24" s="1"/>
  <c r="F25" s="1"/>
  <c r="U26"/>
  <c r="T29"/>
  <c r="S19"/>
  <c r="V21"/>
  <c r="N20" s="1"/>
  <c r="X23"/>
  <c r="P22" s="1"/>
  <c r="U24"/>
  <c r="W27"/>
  <c r="O26" s="1"/>
  <c r="J26" s="1"/>
  <c r="T28"/>
  <c r="W31"/>
  <c r="O30" s="1"/>
  <c r="J30" s="1"/>
  <c r="W32"/>
  <c r="O31" s="1"/>
  <c r="J31" s="1"/>
  <c r="W26"/>
  <c r="O25" s="1"/>
  <c r="J25" s="1"/>
  <c r="I25" s="1"/>
  <c r="F26" s="1"/>
  <c r="X30"/>
  <c r="P29" s="1"/>
  <c r="W24"/>
  <c r="O23" s="1"/>
  <c r="J23" s="1"/>
  <c r="I23" s="1"/>
  <c r="F24" s="1"/>
  <c r="V28"/>
  <c r="N27" s="1"/>
  <c r="X21"/>
  <c r="P20" s="1"/>
  <c r="T20"/>
  <c r="V23"/>
  <c r="N22" s="1"/>
  <c r="U25"/>
  <c r="U27"/>
  <c r="U31"/>
  <c r="F81"/>
  <c r="G81"/>
  <c r="H81"/>
  <c r="AA48" s="1"/>
  <c r="V43" i="10"/>
  <c r="M7" s="1"/>
  <c r="Z43"/>
  <c r="W43"/>
  <c r="AB43"/>
  <c r="H7" s="1"/>
  <c r="Y43"/>
  <c r="L7" s="1"/>
  <c r="X43"/>
  <c r="AC43"/>
  <c r="I7" s="1"/>
  <c r="AA43"/>
  <c r="T43" s="1"/>
  <c r="W90"/>
  <c r="AA90"/>
  <c r="T90" s="1"/>
  <c r="V90"/>
  <c r="M9" s="1"/>
  <c r="AB90"/>
  <c r="H9" s="1"/>
  <c r="Y90"/>
  <c r="L9" s="1"/>
  <c r="AC90"/>
  <c r="I9" s="1"/>
  <c r="Z90"/>
  <c r="X90"/>
  <c r="Y197"/>
  <c r="L13" s="1"/>
  <c r="AC197"/>
  <c r="I13" s="1"/>
  <c r="W197"/>
  <c r="AA197"/>
  <c r="T197" s="1"/>
  <c r="X197"/>
  <c r="V197"/>
  <c r="M13" s="1"/>
  <c r="AB197"/>
  <c r="H13" s="1"/>
  <c r="Z197"/>
  <c r="X117"/>
  <c r="AB117"/>
  <c r="H10" s="1"/>
  <c r="Z117"/>
  <c r="W117"/>
  <c r="AC117"/>
  <c r="I10" s="1"/>
  <c r="V117"/>
  <c r="M10" s="1"/>
  <c r="AA117"/>
  <c r="T117" s="1"/>
  <c r="Y117"/>
  <c r="L10" s="1"/>
  <c r="K10" l="1"/>
  <c r="W121"/>
  <c r="AA121" s="1"/>
  <c r="G10" s="1"/>
  <c r="W93"/>
  <c r="AA93" s="1"/>
  <c r="F9" s="1"/>
  <c r="J9"/>
  <c r="K7"/>
  <c r="W47"/>
  <c r="AA47" s="1"/>
  <c r="G7" s="1"/>
  <c r="I30" i="8"/>
  <c r="F31" s="1"/>
  <c r="J36"/>
  <c r="I36" s="1"/>
  <c r="F37" s="1"/>
  <c r="J46"/>
  <c r="I46" s="1"/>
  <c r="F47" s="1"/>
  <c r="J48"/>
  <c r="I48" s="1"/>
  <c r="F49" s="1"/>
  <c r="J43"/>
  <c r="I43" s="1"/>
  <c r="F44" s="1"/>
  <c r="J40"/>
  <c r="I40" s="1"/>
  <c r="F41" s="1"/>
  <c r="AM109" i="10"/>
  <c r="AM110"/>
  <c r="AM112"/>
  <c r="AM108"/>
  <c r="AM114"/>
  <c r="AM111"/>
  <c r="AM107"/>
  <c r="AM113"/>
  <c r="J13"/>
  <c r="W200"/>
  <c r="AA200" s="1"/>
  <c r="F13" s="1"/>
  <c r="J7"/>
  <c r="W46"/>
  <c r="AA46" s="1"/>
  <c r="F7" s="1"/>
  <c r="J41" i="8"/>
  <c r="I41" s="1"/>
  <c r="F42" s="1"/>
  <c r="J47"/>
  <c r="I47" s="1"/>
  <c r="F48" s="1"/>
  <c r="J37"/>
  <c r="I37" s="1"/>
  <c r="F38" s="1"/>
  <c r="J44"/>
  <c r="I44" s="1"/>
  <c r="F45" s="1"/>
  <c r="J49"/>
  <c r="I49" s="1"/>
  <c r="I31"/>
  <c r="F32" s="1"/>
  <c r="I29"/>
  <c r="F30" s="1"/>
  <c r="J39"/>
  <c r="I39" s="1"/>
  <c r="F40" s="1"/>
  <c r="J45"/>
  <c r="I45" s="1"/>
  <c r="F46" s="1"/>
  <c r="J35"/>
  <c r="I35" s="1"/>
  <c r="F36" s="1"/>
  <c r="J42"/>
  <c r="I42" s="1"/>
  <c r="F43" s="1"/>
  <c r="J33"/>
  <c r="I33" s="1"/>
  <c r="F34" s="1"/>
  <c r="I27"/>
  <c r="F28" s="1"/>
  <c r="AM11" i="10"/>
  <c r="AM16"/>
  <c r="AM14"/>
  <c r="AM15"/>
  <c r="AM13"/>
  <c r="AM12"/>
  <c r="J12"/>
  <c r="W173"/>
  <c r="AA173" s="1"/>
  <c r="F12" s="1"/>
  <c r="K11"/>
  <c r="W148"/>
  <c r="AA148" s="1"/>
  <c r="G11" s="1"/>
  <c r="K8"/>
  <c r="W73"/>
  <c r="AA73" s="1"/>
  <c r="G8" s="1"/>
  <c r="W201"/>
  <c r="AA201" s="1"/>
  <c r="G13" s="1"/>
  <c r="K13"/>
  <c r="I28" i="8"/>
  <c r="F29" s="1"/>
  <c r="J38"/>
  <c r="I38" s="1"/>
  <c r="F39" s="1"/>
  <c r="J34"/>
  <c r="I34" s="1"/>
  <c r="F35" s="1"/>
  <c r="AM134" i="10"/>
  <c r="AM136"/>
  <c r="AM137"/>
  <c r="AM141"/>
  <c r="AM138"/>
  <c r="AM135"/>
  <c r="AM139"/>
  <c r="AM140"/>
  <c r="W72"/>
  <c r="AA72" s="1"/>
  <c r="F8" s="1"/>
  <c r="J8"/>
  <c r="K12"/>
  <c r="W174"/>
  <c r="AA174" s="1"/>
  <c r="G12" s="1"/>
  <c r="AM66"/>
  <c r="AM59"/>
  <c r="AM63"/>
  <c r="AM60"/>
  <c r="AM62"/>
  <c r="AM64"/>
  <c r="AM61"/>
  <c r="AM65"/>
  <c r="W120"/>
  <c r="AA120" s="1"/>
  <c r="F10" s="1"/>
  <c r="J10"/>
  <c r="AM189"/>
  <c r="AM190"/>
  <c r="AM185"/>
  <c r="AM187"/>
  <c r="AM188"/>
  <c r="AM192"/>
  <c r="AM191"/>
  <c r="AM194"/>
  <c r="AM186"/>
  <c r="AM193"/>
  <c r="W94"/>
  <c r="AA94" s="1"/>
  <c r="G9" s="1"/>
  <c r="K9"/>
  <c r="AM39"/>
  <c r="AM34"/>
  <c r="AM38"/>
  <c r="AM33"/>
  <c r="AM40"/>
  <c r="AM37"/>
  <c r="AM35"/>
  <c r="AM36"/>
  <c r="AA82" i="8"/>
  <c r="AA81"/>
  <c r="AL82"/>
  <c r="AD90" s="1"/>
  <c r="AG90" s="1"/>
  <c r="I26"/>
  <c r="F27" s="1"/>
  <c r="J32"/>
  <c r="I32" s="1"/>
  <c r="F33" s="1"/>
  <c r="K6" i="10"/>
  <c r="W23"/>
  <c r="AA23" s="1"/>
  <c r="G6" s="1"/>
  <c r="J6"/>
  <c r="W22"/>
  <c r="AA22" s="1"/>
  <c r="F6" s="1"/>
  <c r="AM166"/>
  <c r="AM160"/>
  <c r="AM162"/>
  <c r="AM158"/>
  <c r="AM161"/>
  <c r="AM167"/>
  <c r="AM159"/>
  <c r="AM163"/>
  <c r="AM165"/>
  <c r="AM164"/>
  <c r="J11"/>
  <c r="W147"/>
  <c r="AA147" s="1"/>
  <c r="F11" s="1"/>
  <c r="I54" i="8" l="1"/>
  <c r="F54"/>
  <c r="F57"/>
  <c r="H54"/>
  <c r="G54"/>
  <c r="AL1" i="10"/>
  <c r="C2" s="1"/>
  <c r="AQ16"/>
  <c r="N6" s="1"/>
  <c r="AG103" i="8"/>
  <c r="AG95"/>
  <c r="AQ194" i="10"/>
  <c r="N13" s="1"/>
  <c r="AQ141"/>
  <c r="N11" s="1"/>
  <c r="AQ114"/>
  <c r="N10" s="1"/>
  <c r="AI82" i="8"/>
  <c r="AH82"/>
  <c r="AQ167" i="10"/>
  <c r="N12" s="1"/>
  <c r="AQ40"/>
  <c r="N7" s="1"/>
  <c r="AQ66"/>
  <c r="N8" s="1"/>
  <c r="C2" i="8" l="1"/>
  <c r="AA7"/>
  <c r="AO59"/>
  <c r="AB100"/>
  <c r="B2"/>
  <c r="I56"/>
  <c r="M2"/>
  <c r="I55"/>
  <c r="I81"/>
  <c r="L7"/>
  <c r="K9"/>
  <c r="F55"/>
  <c r="J2"/>
  <c r="X42" i="2"/>
  <c r="X45" s="1"/>
  <c r="X47" s="1"/>
  <c r="X49" s="1"/>
  <c r="X53" s="1"/>
  <c r="G55" i="8"/>
  <c r="X42" i="5"/>
  <c r="X45" s="1"/>
  <c r="X47" s="1"/>
  <c r="X49" s="1"/>
  <c r="X53" s="1"/>
  <c r="X42" i="6"/>
  <c r="X45" s="1"/>
  <c r="X47" s="1"/>
  <c r="X49" s="1"/>
  <c r="X53" s="1"/>
  <c r="H55" i="8"/>
  <c r="AP60"/>
  <c r="AO60"/>
  <c r="AA45"/>
  <c r="AR60"/>
  <c r="M7" l="1"/>
  <c r="L8"/>
  <c r="AP78"/>
  <c r="AP79"/>
  <c r="K10"/>
  <c r="O2"/>
  <c r="P2" s="1"/>
  <c r="AZ46"/>
  <c r="AZ47"/>
  <c r="AZ48"/>
  <c r="BB53"/>
  <c r="AZ49"/>
  <c r="AZ50"/>
  <c r="AZ63"/>
  <c r="AZ64"/>
  <c r="AZ65"/>
  <c r="AZ67"/>
  <c r="AZ66"/>
  <c r="AZ68"/>
  <c r="BB70"/>
  <c r="AZ51"/>
  <c r="AA76"/>
  <c r="AA75"/>
  <c r="AL76"/>
  <c r="AD87" s="1"/>
  <c r="AG87" s="1"/>
  <c r="B3"/>
  <c r="AR79"/>
  <c r="AR78"/>
  <c r="AQ60"/>
  <c r="AA77"/>
  <c r="AO78"/>
  <c r="AO79"/>
  <c r="AX66" l="1"/>
  <c r="AX65"/>
  <c r="AX67"/>
  <c r="AX63"/>
  <c r="AX68"/>
  <c r="AX64"/>
  <c r="AL78"/>
  <c r="AA78"/>
  <c r="AU34"/>
  <c r="AT34" s="1"/>
  <c r="AU33"/>
  <c r="AT33" s="1"/>
  <c r="AU36"/>
  <c r="AT36" s="1"/>
  <c r="AU41"/>
  <c r="AT41" s="1"/>
  <c r="AU38"/>
  <c r="AT38" s="1"/>
  <c r="AU42"/>
  <c r="AT42" s="1"/>
  <c r="AI76"/>
  <c r="AU35"/>
  <c r="AT35" s="1"/>
  <c r="AU39"/>
  <c r="AT39" s="1"/>
  <c r="AH76"/>
  <c r="AU37"/>
  <c r="AT37" s="1"/>
  <c r="AU40"/>
  <c r="AT40" s="1"/>
  <c r="M55"/>
  <c r="L55"/>
  <c r="K55"/>
  <c r="L9"/>
  <c r="M9" s="1"/>
  <c r="M8"/>
  <c r="M10" s="1"/>
  <c r="BB72"/>
  <c r="BB74" s="1"/>
  <c r="AZ53"/>
  <c r="AG101"/>
  <c r="AG93"/>
  <c r="AQ79"/>
  <c r="AQ78"/>
  <c r="AZ70"/>
  <c r="AP91" l="1"/>
  <c r="AO91"/>
  <c r="AR91"/>
  <c r="K59"/>
  <c r="L59"/>
  <c r="M59"/>
  <c r="AS33"/>
  <c r="AQ33"/>
  <c r="AR33"/>
  <c r="K56"/>
  <c r="L56"/>
  <c r="M56"/>
  <c r="AX46"/>
  <c r="AX48"/>
  <c r="AX49"/>
  <c r="AX51"/>
  <c r="AX47"/>
  <c r="AX50"/>
  <c r="BB55"/>
  <c r="BB57" s="1"/>
  <c r="AQ91" s="1"/>
  <c r="AH78"/>
  <c r="AI78"/>
  <c r="AR34" l="1"/>
  <c r="AR35" s="1"/>
  <c r="AP97"/>
  <c r="AU94"/>
  <c r="M60"/>
  <c r="H56" s="1"/>
  <c r="AA79" s="1"/>
  <c r="L60"/>
  <c r="G56" s="1"/>
  <c r="K60"/>
  <c r="F56" s="1"/>
  <c r="AO97"/>
  <c r="AT94"/>
  <c r="AS34"/>
  <c r="AP34" s="1"/>
  <c r="AO34" s="1"/>
  <c r="AP33"/>
  <c r="AO33" s="1"/>
  <c r="AW94"/>
  <c r="AR97"/>
  <c r="AV94"/>
  <c r="AQ97"/>
  <c r="AQ34"/>
  <c r="AS35" l="1"/>
  <c r="AP35" s="1"/>
  <c r="AO35" s="1"/>
  <c r="AW107"/>
  <c r="AS118" s="1"/>
  <c r="AY90"/>
  <c r="AO99"/>
  <c r="AY96" s="1"/>
  <c r="AY99" s="1"/>
  <c r="AZ102" s="1"/>
  <c r="AT101"/>
  <c r="AT106" s="1"/>
  <c r="AR99"/>
  <c r="BB96" s="1"/>
  <c r="BB99" s="1"/>
  <c r="AW101"/>
  <c r="AW106" s="1"/>
  <c r="BB90"/>
  <c r="AQ35"/>
  <c r="AR36"/>
  <c r="AA80"/>
  <c r="AL80"/>
  <c r="AD89" s="1"/>
  <c r="AG89" s="1"/>
  <c r="AQ99"/>
  <c r="BA96" s="1"/>
  <c r="BA99" s="1"/>
  <c r="AV103"/>
  <c r="AV106" s="1"/>
  <c r="BA90"/>
  <c r="BA98" s="1"/>
  <c r="AW119" s="1"/>
  <c r="AZ90"/>
  <c r="AP99"/>
  <c r="AZ96" s="1"/>
  <c r="AZ99" s="1"/>
  <c r="AU103"/>
  <c r="AU106" s="1"/>
  <c r="AR37"/>
  <c r="AR38" s="1"/>
  <c r="AR40" l="1"/>
  <c r="AR39"/>
  <c r="AS36"/>
  <c r="BB98"/>
  <c r="AW118" s="1"/>
  <c r="AI80"/>
  <c r="AH80"/>
  <c r="AH84" s="1"/>
  <c r="AO7" s="1"/>
  <c r="AP36"/>
  <c r="AO36" s="1"/>
  <c r="AS37"/>
  <c r="AG102"/>
  <c r="AG94"/>
  <c r="AR41"/>
  <c r="AR42" s="1"/>
  <c r="AZ98"/>
  <c r="AW117" s="1"/>
  <c r="AQ36"/>
  <c r="AW84"/>
  <c r="AU107"/>
  <c r="AS117" s="1"/>
  <c r="AT107"/>
  <c r="AS116" s="1"/>
  <c r="AV107"/>
  <c r="AS119" s="1"/>
  <c r="AY98"/>
  <c r="AW116" s="1"/>
  <c r="G51" i="5" l="1"/>
  <c r="G51" i="6"/>
  <c r="G51" i="2" s="1"/>
  <c r="AP37" i="8"/>
  <c r="AO37" s="1"/>
  <c r="AS38"/>
  <c r="AJ80"/>
  <c r="AJ76"/>
  <c r="AJ78"/>
  <c r="AJ82"/>
  <c r="AQ37"/>
  <c r="AQ38" s="1"/>
  <c r="G52" i="5"/>
  <c r="G52" i="6"/>
  <c r="G52" i="2" s="1"/>
  <c r="AS39" i="8"/>
  <c r="AP39" s="1"/>
  <c r="AO39" s="1"/>
  <c r="AP38" l="1"/>
  <c r="AO38" s="1"/>
  <c r="AS40"/>
  <c r="AP40" s="1"/>
  <c r="AO40" s="1"/>
  <c r="AQ39"/>
  <c r="AJ84"/>
  <c r="AQ41" l="1"/>
  <c r="AQ42" s="1"/>
  <c r="AQ40"/>
  <c r="AS41"/>
  <c r="AP41" s="1"/>
  <c r="AO41" s="1"/>
  <c r="AO24"/>
  <c r="AO27" s="1"/>
  <c r="D30" s="1"/>
  <c r="AO26"/>
  <c r="AP27"/>
  <c r="AS42"/>
  <c r="AP42" s="1"/>
  <c r="AO42" s="1"/>
  <c r="AO44" s="1"/>
  <c r="AO45" s="1"/>
  <c r="D31" l="1"/>
  <c r="D33" s="1"/>
  <c r="D32"/>
  <c r="D2" l="1"/>
  <c r="C3" s="1"/>
  <c r="AD100"/>
  <c r="AG100" s="1"/>
  <c r="M3"/>
  <c r="P3" s="1"/>
</calcChain>
</file>

<file path=xl/sharedStrings.xml><?xml version="1.0" encoding="utf-8"?>
<sst xmlns="http://schemas.openxmlformats.org/spreadsheetml/2006/main" count="3514" uniqueCount="637">
  <si>
    <t>PROJECT NAME</t>
  </si>
  <si>
    <t>QTY</t>
  </si>
  <si>
    <t>CLOTHES DRYER(S)</t>
  </si>
  <si>
    <t>WATER HEATER(S)</t>
  </si>
  <si>
    <t>AMPS</t>
  </si>
  <si>
    <t>DESCRIPTION</t>
  </si>
  <si>
    <t>QTY.</t>
  </si>
  <si>
    <t>EACH</t>
  </si>
  <si>
    <t>L1</t>
  </si>
  <si>
    <t>L2</t>
  </si>
  <si>
    <t>KVA (EA)</t>
  </si>
  <si>
    <t>ENTER KVA</t>
  </si>
  <si>
    <t>GENERAL INFORMATION</t>
  </si>
  <si>
    <t>RANGE RATING</t>
  </si>
  <si>
    <t>KVA</t>
  </si>
  <si>
    <t>X</t>
  </si>
  <si>
    <t>=</t>
  </si>
  <si>
    <t>VOLTS</t>
  </si>
  <si>
    <t>SUBTOTAL</t>
  </si>
  <si>
    <t xml:space="preserve"> = </t>
  </si>
  <si>
    <t>TOTAL CONNECTED NEUTRAL LOAD</t>
  </si>
  <si>
    <t>RANGE ADD</t>
  </si>
  <si>
    <t>5% PER KVA</t>
  </si>
  <si>
    <t>OVER 12</t>
  </si>
  <si>
    <t>MINIMUM NEUTRAL CONDUCTOR AMPACITY</t>
  </si>
  <si>
    <t>NEUTRAL</t>
  </si>
  <si>
    <t>TOTAL GENERAL LOAD</t>
  </si>
  <si>
    <t>REMAINDER OF LOAD AT 40%</t>
  </si>
  <si>
    <t>NEUTRAL LOAD VA</t>
  </si>
  <si>
    <t>SINGLE FAMILY SERVICE LOAD CALCULATIONS</t>
  </si>
  <si>
    <t>NUMBER</t>
  </si>
  <si>
    <t>COLUMN A</t>
  </si>
  <si>
    <t>COLUMN B</t>
  </si>
  <si>
    <t>COLUMN C</t>
  </si>
  <si>
    <t>OF</t>
  </si>
  <si>
    <t>NOT OVER 12</t>
  </si>
  <si>
    <t>LESS THAN 3.5</t>
  </si>
  <si>
    <t>3.5 to 8.75</t>
  </si>
  <si>
    <t>APPLIANCES</t>
  </si>
  <si>
    <t>KW RATING</t>
  </si>
  <si>
    <t>NUMBER OF RANGES</t>
  </si>
  <si>
    <t>MAXIMUM DEMAND</t>
  </si>
  <si>
    <t>FROM COLUMN A</t>
  </si>
  <si>
    <t>TABLE 220-19</t>
  </si>
  <si>
    <t>PERCENTAGE DEMAND</t>
  </si>
  <si>
    <t>FROM COLUMN B</t>
  </si>
  <si>
    <t>26-30</t>
  </si>
  <si>
    <t xml:space="preserve">15 KW + 1KW </t>
  </si>
  <si>
    <t>31-40</t>
  </si>
  <si>
    <t>FOR EACH RANGE</t>
  </si>
  <si>
    <t>41-50</t>
  </si>
  <si>
    <t>25 KW + .75 KW</t>
  </si>
  <si>
    <t>51-60</t>
  </si>
  <si>
    <t>FOR EACH</t>
  </si>
  <si>
    <t>61 &amp; OVER</t>
  </si>
  <si>
    <t>RANGE</t>
  </si>
  <si>
    <t>DEMAND</t>
  </si>
  <si>
    <t>FACTOR</t>
  </si>
  <si>
    <t>DRYERS</t>
  </si>
  <si>
    <t>PERCENT</t>
  </si>
  <si>
    <t>NUMBER OF DRYERS</t>
  </si>
  <si>
    <t>DEMAND FACTOR</t>
  </si>
  <si>
    <t>UNBALANCED LOAD</t>
  </si>
  <si>
    <t>RANGE(S) &amp; OVEN(S)</t>
  </si>
  <si>
    <t>FROM COLUMN C</t>
  </si>
  <si>
    <t>43 &amp; OVER</t>
  </si>
  <si>
    <t xml:space="preserve"> </t>
  </si>
  <si>
    <t>TABLE 220.55, FROM 2005 N.E.C.</t>
  </si>
  <si>
    <t>TABLE 220.55</t>
  </si>
  <si>
    <t xml:space="preserve">  TABLE 220.54, FROM 2005 N.E.C.</t>
  </si>
  <si>
    <t>HIGH VOLTAGE</t>
  </si>
  <si>
    <t>LOW VOLTAGE</t>
  </si>
  <si>
    <t>MAIN</t>
  </si>
  <si>
    <t>PANEL</t>
  </si>
  <si>
    <t xml:space="preserve">( </t>
  </si>
  <si>
    <t>3Y</t>
  </si>
  <si>
    <t xml:space="preserve"> X </t>
  </si>
  <si>
    <t>PHASE</t>
  </si>
  <si>
    <t xml:space="preserve"> VA = </t>
  </si>
  <si>
    <t>MISC LOADS</t>
  </si>
  <si>
    <t>FIRST 10 KVA AT 100%</t>
  </si>
  <si>
    <t>SUB TOTAL GENERAL LOAD</t>
  </si>
  <si>
    <t>TEXT</t>
  </si>
  <si>
    <t>LARGEST HEATING OR COOLING LOAD</t>
  </si>
  <si>
    <t>TOTAL KVA</t>
  </si>
  <si>
    <t xml:space="preserve"> VA X 1.00 = </t>
  </si>
  <si>
    <t>DRYER</t>
  </si>
  <si>
    <t>UNBALANCED</t>
  </si>
  <si>
    <t>NEUTRAL AMPS</t>
  </si>
  <si>
    <t>LOAD</t>
  </si>
  <si>
    <t># OF CONDUITS</t>
  </si>
  <si>
    <t xml:space="preserve"> (</t>
  </si>
  <si>
    <t>-</t>
  </si>
  <si>
    <t xml:space="preserve"> - </t>
  </si>
  <si>
    <t>INPUT</t>
  </si>
  <si>
    <t>OVER CURRENT MODULE</t>
  </si>
  <si>
    <t>1. GENERAL</t>
  </si>
  <si>
    <t>CONDUIT SIZING MODULE</t>
  </si>
  <si>
    <t>WIRE SIZE MODULE (4" MAX CONDUIT)</t>
  </si>
  <si>
    <t>2. RIGID</t>
  </si>
  <si>
    <t>HI</t>
  </si>
  <si>
    <t>CU/AL?</t>
  </si>
  <si>
    <t>WIRES</t>
  </si>
  <si>
    <t>FUSE SIZING AMPS</t>
  </si>
  <si>
    <t>3. EMT</t>
  </si>
  <si>
    <t>CONDUIT TYPE</t>
  </si>
  <si>
    <t>LEG</t>
  </si>
  <si>
    <t>WIRE TEMP</t>
  </si>
  <si>
    <t>L2 AMPS</t>
  </si>
  <si>
    <t># OF PHASE WIRES</t>
  </si>
  <si>
    <t>4. IMC</t>
  </si>
  <si>
    <t>WIRE AREA SQ IN</t>
  </si>
  <si>
    <t>DESIGN AMPS</t>
  </si>
  <si>
    <t>DESIGN AMPS (NDA)</t>
  </si>
  <si>
    <t>5. PVC-40</t>
  </si>
  <si>
    <t>PERCENT FILL</t>
  </si>
  <si>
    <t>MIN AMPS</t>
  </si>
  <si>
    <t>LOOKUP AMPS</t>
  </si>
  <si>
    <t>33% OF PHASE</t>
  </si>
  <si>
    <t>6. RIGID/PVC</t>
  </si>
  <si>
    <t>NET Y/N</t>
  </si>
  <si>
    <t>MAX</t>
  </si>
  <si>
    <t>LOOKUP</t>
  </si>
  <si>
    <t>FUSE/BKR</t>
  </si>
  <si>
    <t>7. FLEX</t>
  </si>
  <si>
    <t>CONDUIT</t>
  </si>
  <si>
    <t>CONNECTED LOAD</t>
  </si>
  <si>
    <t>HAR Y/N</t>
  </si>
  <si>
    <t>GROUND</t>
  </si>
  <si>
    <t>AMP</t>
  </si>
  <si>
    <t>8. LT-FLEX</t>
  </si>
  <si>
    <t>TABLE</t>
  </si>
  <si>
    <t>FILL</t>
  </si>
  <si>
    <t>SIZE</t>
  </si>
  <si>
    <t>GENERAL</t>
  </si>
  <si>
    <t>RIGID</t>
  </si>
  <si>
    <t>EMT</t>
  </si>
  <si>
    <t>IMC</t>
  </si>
  <si>
    <t>PVC-40</t>
  </si>
  <si>
    <t>RIGID/PVC</t>
  </si>
  <si>
    <t>FLEX</t>
  </si>
  <si>
    <t>LT-FLEX</t>
  </si>
  <si>
    <t>50% CONNECTED</t>
  </si>
  <si>
    <t>RATING</t>
  </si>
  <si>
    <t>OUTPUT</t>
  </si>
  <si>
    <t>AREA</t>
  </si>
  <si>
    <t>HARMONIC LOAD</t>
  </si>
  <si>
    <t>SQ IN</t>
  </si>
  <si>
    <t>ADJUST</t>
  </si>
  <si>
    <t>SELECTED</t>
  </si>
  <si>
    <t>WIRE</t>
  </si>
  <si>
    <t>60º C</t>
  </si>
  <si>
    <t>75 C</t>
  </si>
  <si>
    <t>90º C</t>
  </si>
  <si>
    <t>AMPACITY TABLE</t>
  </si>
  <si>
    <t>PER</t>
  </si>
  <si>
    <t>AWG</t>
  </si>
  <si>
    <t>CODE</t>
  </si>
  <si>
    <t>#6</t>
  </si>
  <si>
    <t>CU</t>
  </si>
  <si>
    <t>AL</t>
  </si>
  <si>
    <t>#4</t>
  </si>
  <si>
    <t>#2</t>
  </si>
  <si>
    <t>#3</t>
  </si>
  <si>
    <t>#1</t>
  </si>
  <si>
    <t>#1/0</t>
  </si>
  <si>
    <t>#2/0</t>
  </si>
  <si>
    <t>CONDUIT SIZE</t>
  </si>
  <si>
    <t>DIFFERENT SIZE WIRES</t>
  </si>
  <si>
    <t>#3/0</t>
  </si>
  <si>
    <t>#4/0</t>
  </si>
  <si>
    <t>SAME SIZE WIRES</t>
  </si>
  <si>
    <t>#250</t>
  </si>
  <si>
    <t>#300</t>
  </si>
  <si>
    <t># OF WIRES</t>
  </si>
  <si>
    <t>#350</t>
  </si>
  <si>
    <t>#400</t>
  </si>
  <si>
    <t>#500</t>
  </si>
  <si>
    <t>2-WIRE</t>
  </si>
  <si>
    <t>3-WIRE</t>
  </si>
  <si>
    <t>4-WIRE</t>
  </si>
  <si>
    <t>UNDER 800A</t>
  </si>
  <si>
    <t>OVER 800A</t>
  </si>
  <si>
    <t>HI LEG FUSE</t>
  </si>
  <si>
    <t>WIRE FILL SIZING MODULE</t>
  </si>
  <si>
    <t>L2 RESISTANCE CALCULATION</t>
  </si>
  <si>
    <t>WIRE CODE (NPHC)</t>
  </si>
  <si>
    <t>WIRE TYPE (NWTYP)</t>
  </si>
  <si>
    <t xml:space="preserve"> / </t>
  </si>
  <si>
    <t>CU/AL ?</t>
  </si>
  <si>
    <t>GND WIRE CODE</t>
  </si>
  <si>
    <t>NEUTRAL Y/N</t>
  </si>
  <si>
    <t>#OF WIRE</t>
  </si>
  <si>
    <t>TOTAL WIRES</t>
  </si>
  <si>
    <t>VOLTAGE DROP MODULE</t>
  </si>
  <si>
    <t>PARALLEL CONDUCTORS</t>
  </si>
  <si>
    <t>L1-L3</t>
  </si>
  <si>
    <t>HI LEG</t>
  </si>
  <si>
    <t>ST</t>
  </si>
  <si>
    <t>CA</t>
  </si>
  <si>
    <t>1-PHASE</t>
  </si>
  <si>
    <t>3D</t>
  </si>
  <si>
    <t>THW</t>
  </si>
  <si>
    <t>RHW</t>
  </si>
  <si>
    <t>THHN</t>
  </si>
  <si>
    <t>XHHW</t>
  </si>
  <si>
    <t>THW-CA</t>
  </si>
  <si>
    <t>THHN-CA</t>
  </si>
  <si>
    <t>XHHW-CA</t>
  </si>
  <si>
    <t>SINGLE CONDUCTOR</t>
  </si>
  <si>
    <t>NETURAL</t>
  </si>
  <si>
    <t>ONE WAY DISTANCE</t>
  </si>
  <si>
    <t>TOTAL LOAD</t>
  </si>
  <si>
    <t>CALCULATED RESISTANCE OF CONDUCTOR(S)</t>
  </si>
  <si>
    <t>#10</t>
  </si>
  <si>
    <t>VOLTAGE</t>
  </si>
  <si>
    <t>GROUND SIZE MODULE</t>
  </si>
  <si>
    <t>#8</t>
  </si>
  <si>
    <t>GND Y/N? (NGYN)</t>
  </si>
  <si>
    <t>WIRE CODE</t>
  </si>
  <si>
    <t>MAX AMPS (NMA)</t>
  </si>
  <si>
    <t>RES</t>
  </si>
  <si>
    <t>L1 &amp; L2 RESISTANCE CALCULATION</t>
  </si>
  <si>
    <t>CU/AL? (NCUAL2)</t>
  </si>
  <si>
    <t>NEC</t>
  </si>
  <si>
    <t>GND_TABLE</t>
  </si>
  <si>
    <t>SEL</t>
  </si>
  <si>
    <t>OVER</t>
  </si>
  <si>
    <t>CURRENT</t>
  </si>
  <si>
    <t>L1-L3 WIRE CODE</t>
  </si>
  <si>
    <t>L1,L3</t>
  </si>
  <si>
    <t>NET</t>
  </si>
  <si>
    <t>L1-L3 SQ IN</t>
  </si>
  <si>
    <t>L2 WIRE CODE</t>
  </si>
  <si>
    <t>L2 SQ IN</t>
  </si>
  <si>
    <t>NET WIRE CODE</t>
  </si>
  <si>
    <t>WIRE RES</t>
  </si>
  <si>
    <t>OVER CURRENT</t>
  </si>
  <si>
    <t>NET SQ IN</t>
  </si>
  <si>
    <t>AMPS PER WIRE</t>
  </si>
  <si>
    <t>GND SQ IN</t>
  </si>
  <si>
    <t>TOTAL AREA OF CONDUCTORS</t>
  </si>
  <si>
    <t xml:space="preserve"> (L2)</t>
  </si>
  <si>
    <t xml:space="preserve"> (N)</t>
  </si>
  <si>
    <t>VD %</t>
  </si>
  <si>
    <t>L1 &amp; L3</t>
  </si>
  <si>
    <t>3-PHASE Y</t>
  </si>
  <si>
    <t xml:space="preserve"> GND</t>
  </si>
  <si>
    <t>X L</t>
  </si>
  <si>
    <t>VD</t>
  </si>
  <si>
    <t>X R</t>
  </si>
  <si>
    <t xml:space="preserve"> ÷ </t>
  </si>
  <si>
    <t xml:space="preserve"> VD ÷ </t>
  </si>
  <si>
    <t>X I</t>
  </si>
  <si>
    <t xml:space="preserve"> L </t>
  </si>
  <si>
    <t xml:space="preserve">' L X </t>
  </si>
  <si>
    <t xml:space="preserve"> V X </t>
  </si>
  <si>
    <t>÷ 1000</t>
  </si>
  <si>
    <t xml:space="preserve"> R </t>
  </si>
  <si>
    <t xml:space="preserve"> R X </t>
  </si>
  <si>
    <t xml:space="preserve"> ) = </t>
  </si>
  <si>
    <t>X 0.866</t>
  </si>
  <si>
    <t xml:space="preserve"> I </t>
  </si>
  <si>
    <t xml:space="preserve"> = VD</t>
  </si>
  <si>
    <t xml:space="preserve"> A ÷ </t>
  </si>
  <si>
    <t xml:space="preserve"> % </t>
  </si>
  <si>
    <t xml:space="preserve"> % VD</t>
  </si>
  <si>
    <t>÷ VOLTS</t>
  </si>
  <si>
    <t xml:space="preserve"> = VD %</t>
  </si>
  <si>
    <t xml:space="preserve"> ) </t>
  </si>
  <si>
    <t>FEEDER CONDUIT</t>
  </si>
  <si>
    <t xml:space="preserve"> VD</t>
  </si>
  <si>
    <t>VOLTAGE DROP</t>
  </si>
  <si>
    <t>Single Phase</t>
  </si>
  <si>
    <t>Voltage Drop %</t>
  </si>
  <si>
    <t>Three Phase</t>
  </si>
  <si>
    <t>Voltage Drop L1 &amp; L3</t>
  </si>
  <si>
    <t>Voltage Drop % L1 &amp; L3</t>
  </si>
  <si>
    <t>Voltage Drop L2 ( Hi-Leg )</t>
  </si>
  <si>
    <t>Voltage Drop % L2 ( Hi-Leg )</t>
  </si>
  <si>
    <t>Y</t>
  </si>
  <si>
    <t>N</t>
  </si>
  <si>
    <t>FEEDER TYPE</t>
  </si>
  <si>
    <t>FEEDER</t>
  </si>
  <si>
    <t>LENGTH</t>
  </si>
  <si>
    <t>WIRE CU/AL</t>
  </si>
  <si>
    <t>MINIMUM AMPS</t>
  </si>
  <si>
    <t>YES</t>
  </si>
  <si>
    <t>% FACTOR</t>
  </si>
  <si>
    <t>FUTURE AMPS</t>
  </si>
  <si>
    <t xml:space="preserve"> A X </t>
  </si>
  <si>
    <t xml:space="preserve"> ( </t>
  </si>
  <si>
    <t>% )</t>
  </si>
  <si>
    <t>'</t>
  </si>
  <si>
    <t>SHORT</t>
  </si>
  <si>
    <t>3-COND W/GND SER CABLE AL</t>
  </si>
  <si>
    <t>C VALUE</t>
  </si>
  <si>
    <t>SER 3C AL</t>
  </si>
  <si>
    <t>ROW</t>
  </si>
  <si>
    <t>SER 3C CU</t>
  </si>
  <si>
    <t>SELECT</t>
  </si>
  <si>
    <t># OF CONDUCTORS</t>
  </si>
  <si>
    <t>SER 4C AL</t>
  </si>
  <si>
    <t>CU OR AL</t>
  </si>
  <si>
    <t>ROMEX 3C CU</t>
  </si>
  <si>
    <t>6-6-6-6</t>
  </si>
  <si>
    <t>MC 3C AL</t>
  </si>
  <si>
    <t>4-4-4-6</t>
  </si>
  <si>
    <t>MC 4C AL</t>
  </si>
  <si>
    <t>2-2-2-4</t>
  </si>
  <si>
    <t>MC 3C CU</t>
  </si>
  <si>
    <t>1-1-1-3</t>
  </si>
  <si>
    <t>MC 4C CU</t>
  </si>
  <si>
    <t>1/0-1/0-1/0-2</t>
  </si>
  <si>
    <t>2/0-2/0-2/0-1</t>
  </si>
  <si>
    <t>3/0-3/0-3/0-1/0</t>
  </si>
  <si>
    <t>4/0-4/0-4/0-2/0</t>
  </si>
  <si>
    <t>EXCEED</t>
  </si>
  <si>
    <t xml:space="preserve"> SER CABLE</t>
  </si>
  <si>
    <t xml:space="preserve"> 3-</t>
  </si>
  <si>
    <t xml:space="preserve"> AL</t>
  </si>
  <si>
    <t xml:space="preserve"> THE DESIGN LOAD OF </t>
  </si>
  <si>
    <t xml:space="preserve"> 1-</t>
  </si>
  <si>
    <t xml:space="preserve"> AMPS</t>
  </si>
  <si>
    <t>3-COND W/GND SER CABLE CU</t>
  </si>
  <si>
    <t>3-3-3-5</t>
  </si>
  <si>
    <t>#5</t>
  </si>
  <si>
    <t xml:space="preserve"> CU</t>
  </si>
  <si>
    <t>4-COND W/GND SER CABLE AL</t>
  </si>
  <si>
    <t>WIRE TMEP</t>
  </si>
  <si>
    <t>6-6-6-6-6</t>
  </si>
  <si>
    <t>4-4-4-4-6</t>
  </si>
  <si>
    <t>2-2-2-2-4</t>
  </si>
  <si>
    <t>1-1-1-1-3</t>
  </si>
  <si>
    <t>1/0-1/0-1/0-1/0-2</t>
  </si>
  <si>
    <t>2/0-2/0-2/0-2/0-1</t>
  </si>
  <si>
    <t>3/0-3/0-3/0-3/0-1/0</t>
  </si>
  <si>
    <t>4/0-4/0-4/0-4/0-2/0</t>
  </si>
  <si>
    <t>250-250-250-250-3/0</t>
  </si>
  <si>
    <t>300-300-300-300-4/0</t>
  </si>
  <si>
    <t xml:space="preserve"> 4-</t>
  </si>
  <si>
    <t>3-COND W/GND ROMEX CABLE CU</t>
  </si>
  <si>
    <t>4-4-4-4</t>
  </si>
  <si>
    <t>2-2-2-2</t>
  </si>
  <si>
    <t xml:space="preserve"> ROMEX</t>
  </si>
  <si>
    <t>3-COND W/GND MC CABLE AL</t>
  </si>
  <si>
    <t>1-1-1-4</t>
  </si>
  <si>
    <t>1/0-1/0-1/0-4</t>
  </si>
  <si>
    <t>2/0-2/0-2/0-4</t>
  </si>
  <si>
    <t>3/0-3/0-3/0-4</t>
  </si>
  <si>
    <t>4/0-4/0-4/0-2</t>
  </si>
  <si>
    <t>250-250-250-2</t>
  </si>
  <si>
    <t>350-350-350-1</t>
  </si>
  <si>
    <t xml:space="preserve"> MC CABLE</t>
  </si>
  <si>
    <t>4-COND W/GND MC CABLE AL</t>
  </si>
  <si>
    <t>1-1-1-1-4</t>
  </si>
  <si>
    <t>1/0-1/0-1/0-1/0-4</t>
  </si>
  <si>
    <t>2/0-2/0-2/0-2/0-4</t>
  </si>
  <si>
    <t>3/0-3/0-3/0-3/0-4</t>
  </si>
  <si>
    <t>4/0-4/0-4/0-4/0-2</t>
  </si>
  <si>
    <t>250-250-250-250-1</t>
  </si>
  <si>
    <t>350-350-350-350-1/0</t>
  </si>
  <si>
    <t>3-COND W/GND MC CABLE CU</t>
  </si>
  <si>
    <t>4-4-4-8</t>
  </si>
  <si>
    <t>3-3-3-6</t>
  </si>
  <si>
    <t>2-2-2-6</t>
  </si>
  <si>
    <t>1-1-1-6</t>
  </si>
  <si>
    <t>1/0-1/0-1/0-6</t>
  </si>
  <si>
    <t>2/0-2/0-2/0-6</t>
  </si>
  <si>
    <t>4/0-4/0-4/0-4</t>
  </si>
  <si>
    <t>250-250-250-4</t>
  </si>
  <si>
    <t>350-350-350-3</t>
  </si>
  <si>
    <t>4-COND W/GND MC CABLE CU</t>
  </si>
  <si>
    <t>4-4-4-4-8</t>
  </si>
  <si>
    <t>3-3-3-3-6</t>
  </si>
  <si>
    <t>2-2-2-2-6</t>
  </si>
  <si>
    <t>1-1-1-1-6</t>
  </si>
  <si>
    <t>1/0-1/0-1/0-1/0-6</t>
  </si>
  <si>
    <t>2/0-2/0-2/0-2/0-6</t>
  </si>
  <si>
    <t>4/0-4/0-4/0-4/0-4</t>
  </si>
  <si>
    <t>250-250-250-250-4</t>
  </si>
  <si>
    <t>350-350-350-350-3</t>
  </si>
  <si>
    <t>PANEL NAME</t>
  </si>
  <si>
    <t>NAME</t>
  </si>
  <si>
    <t>BREAKER</t>
  </si>
  <si>
    <t>NO TRANSFORMER 3-PHASE Y</t>
  </si>
  <si>
    <t xml:space="preserve"> (( </t>
  </si>
  <si>
    <t xml:space="preserve"> AFC x </t>
  </si>
  <si>
    <t xml:space="preserve"> UA ) + </t>
  </si>
  <si>
    <t xml:space="preserve"> MC ) = </t>
  </si>
  <si>
    <t xml:space="preserve"> AFC</t>
  </si>
  <si>
    <t xml:space="preserve"> AFC X </t>
  </si>
  <si>
    <t xml:space="preserve">Start &gt; </t>
  </si>
  <si>
    <t xml:space="preserve"> &lt; </t>
  </si>
  <si>
    <t>3/4"</t>
  </si>
  <si>
    <t xml:space="preserve">' </t>
  </si>
  <si>
    <t>1"</t>
  </si>
  <si>
    <t xml:space="preserve">    </t>
  </si>
  <si>
    <t>1 1/4"</t>
  </si>
  <si>
    <t>1 1/2"</t>
  </si>
  <si>
    <t>2"</t>
  </si>
  <si>
    <t>2 1/2"</t>
  </si>
  <si>
    <t>3"</t>
  </si>
  <si>
    <t>3 1/2"</t>
  </si>
  <si>
    <t xml:space="preserve">End &gt; </t>
  </si>
  <si>
    <t>4"</t>
  </si>
  <si>
    <t xml:space="preserve">Step 4 - Conductor Factor CF - Formula </t>
  </si>
  <si>
    <t>STELL=1 PLASTIC=2</t>
  </si>
  <si>
    <t>CU=1 AL=2</t>
  </si>
  <si>
    <t xml:space="preserve">Conductor Factor CF - Formula </t>
  </si>
  <si>
    <t xml:space="preserve"> x </t>
  </si>
  <si>
    <t xml:space="preserve"> L x </t>
  </si>
  <si>
    <t xml:space="preserve"> AFC  ) ÷ ( </t>
  </si>
  <si>
    <t xml:space="preserve"> C x </t>
  </si>
  <si>
    <t xml:space="preserve"> N x </t>
  </si>
  <si>
    <t xml:space="preserve"> V ) = </t>
  </si>
  <si>
    <t xml:space="preserve"> CF</t>
  </si>
  <si>
    <t>Print</t>
  </si>
  <si>
    <t xml:space="preserve"> L X </t>
  </si>
  <si>
    <t xml:space="preserve"> C X </t>
  </si>
  <si>
    <t xml:space="preserve"> N X </t>
  </si>
  <si>
    <t>TOTAL</t>
  </si>
  <si>
    <t xml:space="preserve">Step 5 - Conductor Multiplier CM - Formula </t>
  </si>
  <si>
    <t xml:space="preserve">Conductor Multiplier CM - Formula </t>
  </si>
  <si>
    <t xml:space="preserve"> ) ÷ ( </t>
  </si>
  <si>
    <t xml:space="preserve"> + </t>
  </si>
  <si>
    <t xml:space="preserve"> CF ) = </t>
  </si>
  <si>
    <t xml:space="preserve"> CM </t>
  </si>
  <si>
    <t xml:space="preserve">Step 6 - Conductor Let-Through Current CLC - Formula </t>
  </si>
  <si>
    <t xml:space="preserve">Conductor Let-Through Current CLC - Formula </t>
  </si>
  <si>
    <t xml:space="preserve"> CM ) = </t>
  </si>
  <si>
    <t xml:space="preserve"> CLC</t>
  </si>
  <si>
    <t>C VALUES</t>
  </si>
  <si>
    <t>Steel Conduit</t>
  </si>
  <si>
    <t>Nonmagnetic Conduit</t>
  </si>
  <si>
    <t>3 or 4 Single</t>
  </si>
  <si>
    <t>C7</t>
  </si>
  <si>
    <t>Cables CU</t>
  </si>
  <si>
    <t>Cables AL</t>
  </si>
  <si>
    <t>#14</t>
  </si>
  <si>
    <t>#12</t>
  </si>
  <si>
    <t>FAULT</t>
  </si>
  <si>
    <t>CABLE</t>
  </si>
  <si>
    <t>SER-ROMEX</t>
  </si>
  <si>
    <t xml:space="preserve"> K </t>
  </si>
  <si>
    <t xml:space="preserve">AFC at Starting Point </t>
  </si>
  <si>
    <t xml:space="preserve">(( </t>
  </si>
  <si>
    <t>WIRE 1</t>
  </si>
  <si>
    <t>WIRE 2</t>
  </si>
  <si>
    <t>WIRE 3</t>
  </si>
  <si>
    <t>WIRE 4</t>
  </si>
  <si>
    <t xml:space="preserve"> AMPS EXCEEDS THE</t>
  </si>
  <si>
    <t xml:space="preserve"> MAXIMUM CABLE RATING OF </t>
  </si>
  <si>
    <t>AFC AT THIS PANEL</t>
  </si>
  <si>
    <t>DWELLING UNIT</t>
  </si>
  <si>
    <t>KEY</t>
  </si>
  <si>
    <t>A - Amps</t>
  </si>
  <si>
    <t>AFC - Available Fault Current</t>
  </si>
  <si>
    <t>C - Conductor Constance</t>
  </si>
  <si>
    <t>CF - Conductor Factor</t>
  </si>
  <si>
    <t>CLC - Conductor Let Through Current</t>
  </si>
  <si>
    <t>CM - Conductor Multiplier</t>
  </si>
  <si>
    <t>L - Length</t>
  </si>
  <si>
    <t>MC - Motor Contribution</t>
  </si>
  <si>
    <t>N - Number of Conductors</t>
  </si>
  <si>
    <t>R - Resistance</t>
  </si>
  <si>
    <t>UA - Utility Adjustment</t>
  </si>
  <si>
    <t>V - Volts</t>
  </si>
  <si>
    <t>VA - Volt Amps</t>
  </si>
  <si>
    <t>VD - Voltage Drop</t>
  </si>
  <si>
    <t>SQUARE</t>
  </si>
  <si>
    <t>FOOTAGE</t>
  </si>
  <si>
    <t>APPLIANCE</t>
  </si>
  <si>
    <t>CIRCUITS</t>
  </si>
  <si>
    <t>LAUNDRY</t>
  </si>
  <si>
    <t>WATER</t>
  </si>
  <si>
    <t>HEATER</t>
  </si>
  <si>
    <t>RANGES</t>
  </si>
  <si>
    <t xml:space="preserve">NUMBER </t>
  </si>
  <si>
    <t>HEAT</t>
  </si>
  <si>
    <t>MISC</t>
  </si>
  <si>
    <t>LOADS</t>
  </si>
  <si>
    <t>NO</t>
  </si>
  <si>
    <t>APP COUNT</t>
  </si>
  <si>
    <t>APP KVA</t>
  </si>
  <si>
    <t xml:space="preserve"> VA X 0.35 ) = </t>
  </si>
  <si>
    <t xml:space="preserve"> VA X 0.25 ) = </t>
  </si>
  <si>
    <t xml:space="preserve">PER PHASE DEMAND ( </t>
  </si>
  <si>
    <t xml:space="preserve"> VA</t>
  </si>
  <si>
    <t xml:space="preserve">EQUIVALENT 3-PHASE LOAD ( </t>
  </si>
  <si>
    <t>CEILING</t>
  </si>
  <si>
    <t xml:space="preserve">TOTAL SQ FOOTAGE ( </t>
  </si>
  <si>
    <t xml:space="preserve"> SQ FT X 3 VA ) = </t>
  </si>
  <si>
    <t xml:space="preserve">APPLIANCE CIRCUITS ( </t>
  </si>
  <si>
    <t xml:space="preserve"> X 1,500 VA ) = </t>
  </si>
  <si>
    <t xml:space="preserve">LAUNDRY CIRCUITS ( </t>
  </si>
  <si>
    <t xml:space="preserve"> VA ) = </t>
  </si>
  <si>
    <t xml:space="preserve"> VA ÷ 2 ) = </t>
  </si>
  <si>
    <t xml:space="preserve"> VA X 3 ) = </t>
  </si>
  <si>
    <t xml:space="preserve"> VA X 100% ) = </t>
  </si>
  <si>
    <t xml:space="preserve"> VA X 65% ) = </t>
  </si>
  <si>
    <t xml:space="preserve">(1) AC LOAD ( </t>
  </si>
  <si>
    <t xml:space="preserve">(5) SPACE HEATING ( </t>
  </si>
  <si>
    <t>(6) SPACE HEATING (</t>
  </si>
  <si>
    <t xml:space="preserve">TOTAL AMPS ( </t>
  </si>
  <si>
    <t xml:space="preserve">FUTUR AMPS ( </t>
  </si>
  <si>
    <t xml:space="preserve">FIRST 3,000 VA @ 100% ( </t>
  </si>
  <si>
    <t xml:space="preserve"> VA X 1.00 ) = </t>
  </si>
  <si>
    <t xml:space="preserve">3,000-120,000 VA @ 35% ( </t>
  </si>
  <si>
    <t xml:space="preserve">OVER 120,000 VA @ 25% ( </t>
  </si>
  <si>
    <t xml:space="preserve"> VA </t>
  </si>
  <si>
    <t xml:space="preserve">NEUTRAL LOAD ( </t>
  </si>
  <si>
    <t>FIRST 200 A @ 100% (</t>
  </si>
  <si>
    <t xml:space="preserve"> A X 1.00 ) =</t>
  </si>
  <si>
    <t xml:space="preserve">REMAINDER @ 70% ( </t>
  </si>
  <si>
    <t xml:space="preserve"> A X 0.70 ) =</t>
  </si>
  <si>
    <t>UNBALANCED MISC LOADS</t>
  </si>
  <si>
    <t>VOLTAGE DROP CALCS</t>
  </si>
  <si>
    <t>FAULT CURRENT CALCS</t>
  </si>
  <si>
    <t>TOTAL SQUARE FOOTAGE</t>
  </si>
  <si>
    <t>APPLIANCE CIRCUITS</t>
  </si>
  <si>
    <t>LAUNDRY CIRCUITS</t>
  </si>
  <si>
    <t>SER</t>
  </si>
  <si>
    <t>&gt;&gt;</t>
  </si>
  <si>
    <t>AFC</t>
  </si>
  <si>
    <t>---</t>
  </si>
  <si>
    <t>DISPLAY</t>
  </si>
  <si>
    <t>NONE</t>
  </si>
  <si>
    <t>PVC</t>
  </si>
  <si>
    <t xml:space="preserve"> --</t>
  </si>
  <si>
    <t>SYSTEM</t>
  </si>
  <si>
    <t>#600</t>
  </si>
  <si>
    <t>#750</t>
  </si>
  <si>
    <t>#1000</t>
  </si>
  <si>
    <t>UFER GND</t>
  </si>
  <si>
    <t xml:space="preserve"> ---------------------------  </t>
  </si>
  <si>
    <t>TABLE 310.15(B)(6)</t>
  </si>
  <si>
    <t>310.15(B)(6)</t>
  </si>
  <si>
    <t xml:space="preserve">TABLE </t>
  </si>
  <si>
    <t xml:space="preserve"> - FEEDER PER TABLE 310.16 - </t>
  </si>
  <si>
    <t xml:space="preserve"> - FEEDER PER TABLE 310.15(B)(6)</t>
  </si>
  <si>
    <t>° C</t>
  </si>
  <si>
    <t xml:space="preserve"> FEEDER PER TABLE 310.16 - </t>
  </si>
  <si>
    <t xml:space="preserve"> FEEDER PER TABLE 310.15(B)(6)</t>
  </si>
  <si>
    <t>CODE YEAR</t>
  </si>
  <si>
    <t>RANGE DEMAND</t>
  </si>
  <si>
    <t>DRYER DEMAND</t>
  </si>
  <si>
    <t>COOLING EQUIPMENT.</t>
  </si>
  <si>
    <t>ENTER 100% OF THE NAMEPLATE RATING(S) OF THE AIR CONDITIONING AND</t>
  </si>
  <si>
    <t xml:space="preserve">      SUPPLEMENTAL HEAT ( </t>
  </si>
  <si>
    <t>CALCULATION METHODE</t>
  </si>
  <si>
    <t>STANDARD</t>
  </si>
  <si>
    <t xml:space="preserve">TOTAL </t>
  </si>
  <si>
    <t>FIRST 3,000 VA AT 100%</t>
  </si>
  <si>
    <t>REMAINING VA AT 35%</t>
  </si>
  <si>
    <t xml:space="preserve">NET LOAD </t>
  </si>
  <si>
    <t xml:space="preserve"> VA X </t>
  </si>
  <si>
    <t xml:space="preserve"> AT </t>
  </si>
  <si>
    <t xml:space="preserve">EQUIVALENT 3-PHASE LOAD ( 12,000 VA X 3 ) = </t>
  </si>
  <si>
    <t xml:space="preserve"> VA X 3 ) </t>
  </si>
  <si>
    <t>PER PHASE DEMAND ( 30,000 VA ÷ 2 ) = 15,000 VA</t>
  </si>
  <si>
    <t xml:space="preserve"> ÷ 2 ) = </t>
  </si>
  <si>
    <t xml:space="preserve">WATER HEATERS ( </t>
  </si>
  <si>
    <t>MAJOR APPLIANCES</t>
  </si>
  <si>
    <t>BUILT-IN APPLIANCES ( 120 VOLT )</t>
  </si>
  <si>
    <t>APPLIANCES FASTENED IN PLACE</t>
  </si>
  <si>
    <t>WATER HEATER</t>
  </si>
  <si>
    <t xml:space="preserve"> V</t>
  </si>
  <si>
    <t xml:space="preserve"> A X 1.732 X </t>
  </si>
  <si>
    <t>Copyright Durand &amp; Associates</t>
  </si>
  <si>
    <t>Prepared With Service Pro 2008 Software</t>
  </si>
  <si>
    <t>OPT/STD</t>
  </si>
  <si>
    <t>OPT STD</t>
  </si>
  <si>
    <t>SP1</t>
  </si>
  <si>
    <t>ITEM</t>
  </si>
  <si>
    <t>HI VOLTS</t>
  </si>
  <si>
    <t>LOW VOLTS</t>
  </si>
  <si>
    <t>VD CALCS</t>
  </si>
  <si>
    <t>FAULT CALCS</t>
  </si>
  <si>
    <t>IN</t>
  </si>
  <si>
    <t>OUT</t>
  </si>
  <si>
    <t>ERROR</t>
  </si>
  <si>
    <t xml:space="preserve">   Subpanel #1</t>
  </si>
  <si>
    <t>CENTRAL VAC</t>
  </si>
  <si>
    <t>NUMBER OF CIRCUITS IN PANEL</t>
  </si>
  <si>
    <t>CIRCUIT DIRECTORY PANEL</t>
  </si>
  <si>
    <t>CIR</t>
  </si>
  <si>
    <t>www.durandassociates.com</t>
  </si>
  <si>
    <t>SUBPANEL NAME</t>
  </si>
  <si>
    <t>HEATING/COOLING</t>
  </si>
  <si>
    <t>MISC. 120 VOLT LOADS</t>
  </si>
  <si>
    <t>MISC. 208 OR 240 VOLT LOADS</t>
  </si>
  <si>
    <t>1.</t>
  </si>
  <si>
    <t>2.</t>
  </si>
  <si>
    <t>3.</t>
  </si>
  <si>
    <t>4.</t>
  </si>
  <si>
    <t>5.</t>
  </si>
  <si>
    <t>6.</t>
  </si>
  <si>
    <t>60A-2P</t>
  </si>
  <si>
    <t xml:space="preserve"> 25'</t>
  </si>
  <si>
    <t xml:space="preserve"> 1- SER CABLE</t>
  </si>
  <si>
    <t xml:space="preserve"> 3-#4 AL  </t>
  </si>
  <si>
    <t xml:space="preserve"> 1-#6 GND</t>
  </si>
  <si>
    <t>0.4 % VD</t>
  </si>
  <si>
    <t xml:space="preserve"> SP1</t>
  </si>
  <si>
    <t xml:space="preserve"> 0.4 % VD</t>
  </si>
  <si>
    <t xml:space="preserve"> 6.6 K </t>
  </si>
  <si>
    <t>15,818</t>
  </si>
  <si>
    <t>1.00</t>
  </si>
  <si>
    <t>0</t>
  </si>
  <si>
    <t>(( 15,818 AFC X 1.00 UA ) + 0 MC ) = 15,818 AFC</t>
  </si>
  <si>
    <t>15,818 AFC</t>
  </si>
  <si>
    <t xml:space="preserve"> &lt; 15,818 AFC</t>
  </si>
  <si>
    <t xml:space="preserve"> &lt; ' ' LENGTH</t>
  </si>
  <si>
    <t xml:space="preserve">     -  </t>
  </si>
  <si>
    <t xml:space="preserve">     -   </t>
  </si>
  <si>
    <t xml:space="preserve"> &lt; 6,580 AFC</t>
  </si>
  <si>
    <t>6,580</t>
  </si>
  <si>
    <t>2</t>
  </si>
  <si>
    <t>25</t>
  </si>
  <si>
    <t>2,353</t>
  </si>
  <si>
    <t>1</t>
  </si>
  <si>
    <t>240</t>
  </si>
  <si>
    <t>1.401</t>
  </si>
  <si>
    <t>( 2 X 25 L X 15,818 AFC  ) ÷ ( 2,353 C X 1 N X 240 V ) = 1.401 CF</t>
  </si>
  <si>
    <t>0.416</t>
  </si>
  <si>
    <t xml:space="preserve">( 1 ) ÷ ( 1 + 1.401 CF ) = 0.416 CM </t>
  </si>
  <si>
    <t>6,580 CLC</t>
  </si>
  <si>
    <t>( 15,818 AFC X 0.416 CM ) = 6,580 CLC</t>
  </si>
  <si>
    <t>SAMPLE</t>
  </si>
  <si>
    <t>MIRCOWAVE</t>
  </si>
  <si>
    <t>PUMP</t>
  </si>
  <si>
    <t>DEMO VERSION</t>
  </si>
  <si>
    <t>ORANGE CELLS</t>
  </si>
  <si>
    <t>ARE PROTECTED</t>
  </si>
  <si>
    <t>Service Pro 2026 (Version 26.0A) - Single Family Optional Calculation Method - Copyright 2025 - Durand &amp; Associates</t>
  </si>
  <si>
    <t>Prepared With Service Pro 2026 Software</t>
  </si>
</sst>
</file>

<file path=xl/styles.xml><?xml version="1.0" encoding="utf-8"?>
<styleSheet xmlns="http://schemas.openxmlformats.org/spreadsheetml/2006/main">
  <numFmts count="36">
    <numFmt numFmtId="164" formatCode="0.0"/>
    <numFmt numFmtId="165" formatCode="#,##0\ ;\(#,##0\)"/>
    <numFmt numFmtId="166" formatCode="0.00&quot; KW&quot;"/>
    <numFmt numFmtId="167" formatCode=".00"/>
    <numFmt numFmtId="168" formatCode="00&quot; %&quot;"/>
    <numFmt numFmtId="169" formatCode="00.0"/>
    <numFmt numFmtId="170" formatCode="#,##0.0"/>
    <numFmt numFmtId="171" formatCode="0&quot;%&quot;"/>
    <numFmt numFmtId="172" formatCode="0.0000"/>
    <numFmt numFmtId="173" formatCode="0.00000000000"/>
    <numFmt numFmtId="174" formatCode="0.000"/>
    <numFmt numFmtId="175" formatCode="0.000000"/>
    <numFmt numFmtId="176" formatCode="0&quot;'&quot;"/>
    <numFmt numFmtId="177" formatCode="#,##0&quot; VA&quot;"/>
    <numFmt numFmtId="178" formatCode="#,##0&quot; A&quot;"/>
    <numFmt numFmtId="179" formatCode="&quot;R&quot;0"/>
    <numFmt numFmtId="180" formatCode="0&quot;º C&quot;"/>
    <numFmt numFmtId="182" formatCode="&quot;x &quot;General&quot; )&quot;"/>
    <numFmt numFmtId="183" formatCode="&quot;( &quot;General"/>
    <numFmt numFmtId="184" formatCode="&quot;( &quot;0&quot; KVA &quot;"/>
    <numFmt numFmtId="185" formatCode="&quot;x  &quot;0&quot; L&quot;"/>
    <numFmt numFmtId="186" formatCode="&quot;x  &quot;0&quot;  x&quot;"/>
    <numFmt numFmtId="187" formatCode="0&quot; V )&quot;"/>
    <numFmt numFmtId="188" formatCode="&quot;= &quot;0.000"/>
    <numFmt numFmtId="189" formatCode="&quot;(  &quot;0&quot;  +&quot;"/>
    <numFmt numFmtId="190" formatCode="0.000&quot; F  )&quot;"/>
    <numFmt numFmtId="191" formatCode="&quot;=  &quot;0.000&quot; M&quot;"/>
    <numFmt numFmtId="192" formatCode="&quot;(  &quot;#,##0"/>
    <numFmt numFmtId="193" formatCode="&quot;=  &quot;#,##0"/>
    <numFmt numFmtId="194" formatCode="&quot;x  &quot;0.000&quot;  )&quot;"/>
    <numFmt numFmtId="195" formatCode="0&quot;  ÷  &quot;"/>
    <numFmt numFmtId="196" formatCode="0&quot; Feet&quot;"/>
    <numFmt numFmtId="197" formatCode="&quot;x &quot;#,##0&quot;  )&quot;"/>
    <numFmt numFmtId="198" formatCode="&quot;÷ ( &quot;#,##0"/>
    <numFmt numFmtId="199" formatCode="0&quot; Conductors Per Ø&quot;"/>
    <numFmt numFmtId="200" formatCode="#,##0.000"/>
  </numFmts>
  <fonts count="13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Courier"/>
    </font>
    <font>
      <sz val="8"/>
      <color indexed="12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9"/>
      <name val="Helv"/>
    </font>
    <font>
      <sz val="12"/>
      <name val="Arial"/>
      <family val="2"/>
    </font>
    <font>
      <sz val="8"/>
      <color indexed="22"/>
      <name val="Arial"/>
      <family val="2"/>
    </font>
    <font>
      <sz val="22"/>
      <name val="Arial"/>
      <family val="2"/>
    </font>
    <font>
      <sz val="8"/>
      <color indexed="9"/>
      <name val="Arial"/>
      <family val="2"/>
    </font>
    <font>
      <sz val="8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/>
      <top/>
      <bottom/>
      <diagonal/>
    </border>
    <border>
      <left/>
      <right style="thin">
        <color indexed="14"/>
      </right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20"/>
      </left>
      <right/>
      <top/>
      <bottom/>
      <diagonal/>
    </border>
    <border>
      <left/>
      <right style="thin">
        <color indexed="20"/>
      </right>
      <top/>
      <bottom/>
      <diagonal/>
    </border>
    <border>
      <left style="thin">
        <color indexed="12"/>
      </left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 style="thin">
        <color indexed="1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12"/>
      </top>
      <bottom/>
      <diagonal/>
    </border>
    <border>
      <left/>
      <right/>
      <top/>
      <bottom style="thin">
        <color indexed="10"/>
      </bottom>
      <diagonal/>
    </border>
    <border>
      <left/>
      <right/>
      <top/>
      <bottom style="thin">
        <color indexed="1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</borders>
  <cellStyleXfs count="11">
    <xf numFmtId="0" fontId="0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</cellStyleXfs>
  <cellXfs count="492">
    <xf numFmtId="0" fontId="0" fillId="0" borderId="0" xfId="0"/>
    <xf numFmtId="0" fontId="2" fillId="0" borderId="0" xfId="0" applyFont="1"/>
    <xf numFmtId="0" fontId="2" fillId="2" borderId="0" xfId="10" applyFont="1" applyFill="1" applyAlignment="1" applyProtection="1">
      <alignment horizontal="left"/>
      <protection hidden="1"/>
    </xf>
    <xf numFmtId="0" fontId="2" fillId="2" borderId="0" xfId="10" applyFont="1" applyFill="1" applyProtection="1">
      <protection hidden="1"/>
    </xf>
    <xf numFmtId="0" fontId="2" fillId="2" borderId="0" xfId="10" applyFont="1" applyFill="1" applyAlignment="1" applyProtection="1">
      <alignment horizontal="center"/>
      <protection hidden="1"/>
    </xf>
    <xf numFmtId="0" fontId="2" fillId="2" borderId="0" xfId="7" applyFont="1" applyFill="1" applyBorder="1" applyAlignment="1" applyProtection="1">
      <alignment horizontal="left"/>
      <protection hidden="1"/>
    </xf>
    <xf numFmtId="1" fontId="2" fillId="0" borderId="0" xfId="0" applyNumberFormat="1" applyFont="1"/>
    <xf numFmtId="0" fontId="2" fillId="0" borderId="0" xfId="0" applyFont="1" applyAlignment="1">
      <alignment horizontal="center"/>
    </xf>
    <xf numFmtId="166" fontId="2" fillId="0" borderId="0" xfId="0" applyNumberFormat="1" applyFont="1"/>
    <xf numFmtId="167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166" fontId="2" fillId="0" borderId="2" xfId="0" applyNumberFormat="1" applyFont="1" applyBorder="1"/>
    <xf numFmtId="167" fontId="2" fillId="0" borderId="2" xfId="0" applyNumberFormat="1" applyFont="1" applyBorder="1" applyAlignment="1">
      <alignment horizontal="center"/>
    </xf>
    <xf numFmtId="168" fontId="2" fillId="0" borderId="1" xfId="0" applyNumberFormat="1" applyFont="1" applyBorder="1" applyAlignment="1">
      <alignment horizontal="center"/>
    </xf>
    <xf numFmtId="168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8" fontId="2" fillId="0" borderId="4" xfId="0" applyNumberFormat="1" applyFont="1" applyBorder="1" applyAlignment="1">
      <alignment horizontal="center"/>
    </xf>
    <xf numFmtId="168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166" fontId="2" fillId="0" borderId="7" xfId="0" applyNumberFormat="1" applyFont="1" applyBorder="1"/>
    <xf numFmtId="167" fontId="2" fillId="0" borderId="7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" fontId="2" fillId="0" borderId="9" xfId="0" applyNumberFormat="1" applyFont="1" applyBorder="1"/>
    <xf numFmtId="166" fontId="2" fillId="0" borderId="9" xfId="0" applyNumberFormat="1" applyFont="1" applyBorder="1"/>
    <xf numFmtId="167" fontId="2" fillId="0" borderId="9" xfId="0" applyNumberFormat="1" applyFont="1" applyBorder="1"/>
    <xf numFmtId="166" fontId="2" fillId="0" borderId="1" xfId="0" applyNumberFormat="1" applyFont="1" applyBorder="1"/>
    <xf numFmtId="166" fontId="2" fillId="0" borderId="4" xfId="0" applyNumberFormat="1" applyFont="1" applyBorder="1"/>
    <xf numFmtId="0" fontId="2" fillId="0" borderId="9" xfId="0" applyFont="1" applyBorder="1"/>
    <xf numFmtId="169" fontId="2" fillId="0" borderId="1" xfId="0" applyNumberFormat="1" applyFont="1" applyBorder="1"/>
    <xf numFmtId="169" fontId="2" fillId="0" borderId="4" xfId="0" applyNumberFormat="1" applyFont="1" applyBorder="1"/>
    <xf numFmtId="169" fontId="2" fillId="0" borderId="9" xfId="0" applyNumberFormat="1" applyFont="1" applyBorder="1"/>
    <xf numFmtId="169" fontId="2" fillId="0" borderId="6" xfId="0" applyNumberFormat="1" applyFont="1" applyBorder="1"/>
    <xf numFmtId="169" fontId="2" fillId="0" borderId="0" xfId="0" applyNumberFormat="1" applyFont="1"/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3" fontId="2" fillId="0" borderId="9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2" xfId="0" applyNumberFormat="1" applyFont="1" applyBorder="1"/>
    <xf numFmtId="3" fontId="4" fillId="3" borderId="9" xfId="0" applyNumberFormat="1" applyFont="1" applyFill="1" applyBorder="1" applyAlignment="1" applyProtection="1">
      <alignment horizontal="center"/>
      <protection locked="0"/>
    </xf>
    <xf numFmtId="0" fontId="4" fillId="3" borderId="9" xfId="0" applyNumberFormat="1" applyFont="1" applyFill="1" applyBorder="1" applyAlignment="1" applyProtection="1">
      <alignment horizontal="center"/>
      <protection locked="0"/>
    </xf>
    <xf numFmtId="0" fontId="4" fillId="3" borderId="9" xfId="0" applyFont="1" applyFill="1" applyBorder="1" applyAlignment="1" applyProtection="1">
      <alignment horizontal="left"/>
      <protection locked="0"/>
    </xf>
    <xf numFmtId="1" fontId="2" fillId="0" borderId="0" xfId="8" applyNumberFormat="1" applyFont="1" applyProtection="1">
      <protection hidden="1"/>
    </xf>
    <xf numFmtId="0" fontId="2" fillId="2" borderId="0" xfId="0" applyFont="1" applyFill="1" applyProtection="1">
      <protection hidden="1"/>
    </xf>
    <xf numFmtId="1" fontId="2" fillId="0" borderId="0" xfId="0" applyNumberFormat="1" applyFont="1" applyProtection="1">
      <protection hidden="1"/>
    </xf>
    <xf numFmtId="0" fontId="2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0" fontId="6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4" borderId="4" xfId="0" applyFont="1" applyFill="1" applyBorder="1" applyAlignment="1">
      <alignment horizontal="center"/>
    </xf>
    <xf numFmtId="169" fontId="2" fillId="4" borderId="4" xfId="0" applyNumberFormat="1" applyFont="1" applyFill="1" applyBorder="1"/>
    <xf numFmtId="0" fontId="2" fillId="2" borderId="0" xfId="0" applyFont="1" applyFill="1" applyBorder="1" applyProtection="1">
      <protection hidden="1"/>
    </xf>
    <xf numFmtId="1" fontId="2" fillId="0" borderId="0" xfId="8" applyNumberFormat="1" applyFont="1" applyFill="1" applyProtection="1">
      <protection hidden="1"/>
    </xf>
    <xf numFmtId="0" fontId="2" fillId="0" borderId="0" xfId="8" applyFont="1" applyFill="1" applyAlignment="1" applyProtection="1">
      <alignment horizontal="left"/>
      <protection hidden="1"/>
    </xf>
    <xf numFmtId="1" fontId="2" fillId="5" borderId="0" xfId="0" applyNumberFormat="1" applyFont="1" applyFill="1" applyProtection="1">
      <protection hidden="1"/>
    </xf>
    <xf numFmtId="1" fontId="2" fillId="6" borderId="0" xfId="0" applyNumberFormat="1" applyFont="1" applyFill="1" applyProtection="1">
      <protection hidden="1"/>
    </xf>
    <xf numFmtId="165" fontId="2" fillId="0" borderId="0" xfId="8" applyNumberFormat="1" applyFont="1" applyFill="1" applyAlignment="1" applyProtection="1">
      <alignment horizontal="left"/>
      <protection hidden="1"/>
    </xf>
    <xf numFmtId="0" fontId="2" fillId="0" borderId="0" xfId="0" applyFont="1" applyFill="1"/>
    <xf numFmtId="0" fontId="2" fillId="0" borderId="0" xfId="9" applyFont="1" applyProtection="1">
      <protection hidden="1"/>
    </xf>
    <xf numFmtId="3" fontId="2" fillId="0" borderId="0" xfId="9" applyNumberFormat="1" applyFont="1" applyProtection="1">
      <protection hidden="1"/>
    </xf>
    <xf numFmtId="0" fontId="2" fillId="0" borderId="0" xfId="9" applyFont="1" applyAlignment="1" applyProtection="1">
      <alignment horizontal="center"/>
      <protection hidden="1"/>
    </xf>
    <xf numFmtId="0" fontId="6" fillId="0" borderId="0" xfId="9" applyFont="1" applyAlignment="1" applyProtection="1">
      <alignment horizontal="left"/>
      <protection hidden="1"/>
    </xf>
    <xf numFmtId="0" fontId="2" fillId="0" borderId="10" xfId="9" applyFont="1" applyBorder="1" applyProtection="1">
      <protection hidden="1"/>
    </xf>
    <xf numFmtId="0" fontId="2" fillId="0" borderId="11" xfId="9" applyFont="1" applyBorder="1" applyAlignment="1" applyProtection="1">
      <alignment horizontal="center"/>
      <protection hidden="1"/>
    </xf>
    <xf numFmtId="0" fontId="2" fillId="0" borderId="12" xfId="9" applyFont="1" applyBorder="1" applyAlignment="1" applyProtection="1">
      <alignment horizontal="left"/>
      <protection hidden="1"/>
    </xf>
    <xf numFmtId="3" fontId="2" fillId="0" borderId="13" xfId="9" applyNumberFormat="1" applyFont="1" applyBorder="1" applyAlignment="1" applyProtection="1">
      <alignment horizontal="center"/>
      <protection hidden="1"/>
    </xf>
    <xf numFmtId="0" fontId="2" fillId="0" borderId="0" xfId="6" applyFont="1" applyAlignment="1" applyProtection="1">
      <alignment horizontal="center"/>
      <protection hidden="1"/>
    </xf>
    <xf numFmtId="0" fontId="2" fillId="0" borderId="13" xfId="9" applyFont="1" applyBorder="1" applyAlignment="1" applyProtection="1">
      <alignment horizontal="center"/>
      <protection hidden="1"/>
    </xf>
    <xf numFmtId="0" fontId="2" fillId="0" borderId="12" xfId="9" applyFont="1" applyBorder="1" applyProtection="1">
      <protection hidden="1"/>
    </xf>
    <xf numFmtId="0" fontId="2" fillId="0" borderId="14" xfId="9" applyFont="1" applyBorder="1" applyAlignment="1" applyProtection="1">
      <alignment horizontal="left"/>
      <protection hidden="1"/>
    </xf>
    <xf numFmtId="0" fontId="2" fillId="0" borderId="15" xfId="9" applyFont="1" applyBorder="1" applyAlignment="1" applyProtection="1">
      <alignment horizontal="center"/>
      <protection hidden="1"/>
    </xf>
    <xf numFmtId="0" fontId="2" fillId="0" borderId="0" xfId="9" applyFont="1" applyAlignment="1" applyProtection="1">
      <alignment horizontal="left"/>
      <protection hidden="1"/>
    </xf>
    <xf numFmtId="170" fontId="2" fillId="0" borderId="0" xfId="9" applyNumberFormat="1" applyFont="1" applyAlignment="1" applyProtection="1">
      <alignment horizontal="center"/>
      <protection hidden="1"/>
    </xf>
    <xf numFmtId="164" fontId="2" fillId="0" borderId="0" xfId="9" applyNumberFormat="1" applyFont="1" applyAlignment="1" applyProtection="1">
      <alignment horizontal="center"/>
      <protection hidden="1"/>
    </xf>
    <xf numFmtId="0" fontId="2" fillId="0" borderId="16" xfId="9" applyFont="1" applyBorder="1" applyProtection="1">
      <protection hidden="1"/>
    </xf>
    <xf numFmtId="0" fontId="2" fillId="0" borderId="17" xfId="9" applyFont="1" applyBorder="1" applyAlignment="1" applyProtection="1">
      <alignment horizontal="center"/>
      <protection hidden="1"/>
    </xf>
    <xf numFmtId="164" fontId="2" fillId="0" borderId="15" xfId="9" applyNumberFormat="1" applyFont="1" applyBorder="1" applyAlignment="1" applyProtection="1">
      <alignment horizontal="center"/>
      <protection hidden="1"/>
    </xf>
    <xf numFmtId="0" fontId="2" fillId="0" borderId="0" xfId="9" applyFont="1" applyBorder="1" applyProtection="1">
      <protection hidden="1"/>
    </xf>
    <xf numFmtId="0" fontId="2" fillId="0" borderId="0" xfId="9" applyFont="1" applyBorder="1" applyAlignment="1" applyProtection="1">
      <alignment horizontal="center"/>
      <protection hidden="1"/>
    </xf>
    <xf numFmtId="0" fontId="2" fillId="0" borderId="0" xfId="9" applyFont="1" applyAlignment="1" applyProtection="1">
      <protection hidden="1"/>
    </xf>
    <xf numFmtId="0" fontId="2" fillId="0" borderId="1" xfId="9" applyFont="1" applyBorder="1" applyAlignment="1" applyProtection="1">
      <alignment horizontal="center"/>
      <protection hidden="1"/>
    </xf>
    <xf numFmtId="173" fontId="2" fillId="0" borderId="0" xfId="9" applyNumberFormat="1" applyFont="1" applyAlignment="1" applyProtection="1">
      <alignment horizontal="left"/>
      <protection hidden="1"/>
    </xf>
    <xf numFmtId="9" fontId="2" fillId="0" borderId="1" xfId="9" applyNumberFormat="1" applyFont="1" applyBorder="1" applyAlignment="1" applyProtection="1">
      <alignment horizontal="center"/>
      <protection hidden="1"/>
    </xf>
    <xf numFmtId="0" fontId="2" fillId="0" borderId="16" xfId="9" applyFont="1" applyBorder="1" applyAlignment="1" applyProtection="1">
      <alignment horizontal="left"/>
      <protection hidden="1"/>
    </xf>
    <xf numFmtId="0" fontId="2" fillId="0" borderId="4" xfId="9" applyFont="1" applyBorder="1" applyAlignment="1" applyProtection="1">
      <alignment horizontal="center"/>
      <protection hidden="1"/>
    </xf>
    <xf numFmtId="0" fontId="2" fillId="0" borderId="0" xfId="9" applyFont="1" applyBorder="1" applyAlignment="1" applyProtection="1">
      <alignment horizontal="left"/>
      <protection hidden="1"/>
    </xf>
    <xf numFmtId="0" fontId="2" fillId="0" borderId="18" xfId="9" applyFont="1" applyBorder="1" applyProtection="1">
      <protection hidden="1"/>
    </xf>
    <xf numFmtId="0" fontId="2" fillId="0" borderId="19" xfId="9" applyFont="1" applyBorder="1" applyAlignment="1" applyProtection="1">
      <alignment horizontal="center"/>
      <protection hidden="1"/>
    </xf>
    <xf numFmtId="0" fontId="2" fillId="0" borderId="0" xfId="9" applyFont="1" applyAlignment="1" applyProtection="1">
      <alignment horizontal="right"/>
      <protection hidden="1"/>
    </xf>
    <xf numFmtId="172" fontId="2" fillId="0" borderId="4" xfId="9" applyNumberFormat="1" applyFont="1" applyBorder="1" applyAlignment="1" applyProtection="1">
      <alignment horizontal="center"/>
      <protection hidden="1"/>
    </xf>
    <xf numFmtId="174" fontId="2" fillId="0" borderId="4" xfId="9" applyNumberFormat="1" applyFont="1" applyBorder="1" applyAlignment="1" applyProtection="1">
      <alignment horizontal="center"/>
      <protection hidden="1"/>
    </xf>
    <xf numFmtId="0" fontId="2" fillId="0" borderId="6" xfId="9" applyFont="1" applyBorder="1" applyAlignment="1" applyProtection="1">
      <alignment horizontal="center"/>
      <protection hidden="1"/>
    </xf>
    <xf numFmtId="0" fontId="2" fillId="0" borderId="20" xfId="9" applyFont="1" applyBorder="1" applyAlignment="1" applyProtection="1">
      <alignment horizontal="center"/>
      <protection hidden="1"/>
    </xf>
    <xf numFmtId="0" fontId="2" fillId="0" borderId="21" xfId="9" applyFont="1" applyBorder="1" applyAlignment="1" applyProtection="1">
      <alignment horizontal="center"/>
      <protection hidden="1"/>
    </xf>
    <xf numFmtId="172" fontId="2" fillId="0" borderId="6" xfId="9" applyNumberFormat="1" applyFont="1" applyBorder="1" applyAlignment="1" applyProtection="1">
      <alignment horizontal="center"/>
      <protection hidden="1"/>
    </xf>
    <xf numFmtId="174" fontId="2" fillId="0" borderId="6" xfId="9" applyNumberFormat="1" applyFont="1" applyBorder="1" applyAlignment="1" applyProtection="1">
      <alignment horizontal="center"/>
      <protection hidden="1"/>
    </xf>
    <xf numFmtId="0" fontId="2" fillId="0" borderId="22" xfId="9" applyFont="1" applyBorder="1" applyAlignment="1" applyProtection="1">
      <alignment horizontal="left"/>
      <protection hidden="1"/>
    </xf>
    <xf numFmtId="0" fontId="2" fillId="0" borderId="23" xfId="9" applyFont="1" applyBorder="1" applyAlignment="1" applyProtection="1">
      <alignment horizontal="center"/>
      <protection hidden="1"/>
    </xf>
    <xf numFmtId="0" fontId="2" fillId="0" borderId="24" xfId="9" applyFont="1" applyBorder="1" applyAlignment="1" applyProtection="1">
      <alignment horizontal="left"/>
      <protection hidden="1"/>
    </xf>
    <xf numFmtId="0" fontId="2" fillId="0" borderId="25" xfId="9" applyFont="1" applyBorder="1" applyAlignment="1" applyProtection="1">
      <alignment horizontal="center"/>
      <protection hidden="1"/>
    </xf>
    <xf numFmtId="0" fontId="2" fillId="0" borderId="26" xfId="9" applyFont="1" applyBorder="1" applyAlignment="1" applyProtection="1">
      <alignment horizontal="left"/>
      <protection hidden="1"/>
    </xf>
    <xf numFmtId="0" fontId="2" fillId="0" borderId="27" xfId="9" applyFont="1" applyBorder="1" applyAlignment="1" applyProtection="1">
      <alignment horizontal="center"/>
      <protection hidden="1"/>
    </xf>
    <xf numFmtId="0" fontId="2" fillId="0" borderId="1" xfId="9" applyFont="1" applyBorder="1" applyProtection="1">
      <protection hidden="1"/>
    </xf>
    <xf numFmtId="164" fontId="2" fillId="0" borderId="1" xfId="9" applyNumberFormat="1" applyFont="1" applyBorder="1" applyAlignment="1" applyProtection="1">
      <alignment horizontal="center"/>
      <protection hidden="1"/>
    </xf>
    <xf numFmtId="0" fontId="2" fillId="0" borderId="4" xfId="9" applyFont="1" applyBorder="1" applyProtection="1">
      <protection hidden="1"/>
    </xf>
    <xf numFmtId="164" fontId="2" fillId="0" borderId="4" xfId="9" applyNumberFormat="1" applyFont="1" applyBorder="1" applyAlignment="1" applyProtection="1">
      <alignment horizontal="center"/>
      <protection hidden="1"/>
    </xf>
    <xf numFmtId="0" fontId="2" fillId="0" borderId="22" xfId="9" applyFont="1" applyBorder="1" applyAlignment="1" applyProtection="1">
      <alignment horizontal="center"/>
      <protection hidden="1"/>
    </xf>
    <xf numFmtId="0" fontId="2" fillId="0" borderId="28" xfId="9" applyFont="1" applyBorder="1" applyAlignment="1" applyProtection="1">
      <alignment horizontal="center"/>
      <protection hidden="1"/>
    </xf>
    <xf numFmtId="0" fontId="2" fillId="0" borderId="29" xfId="9" applyFont="1" applyBorder="1" applyAlignment="1" applyProtection="1">
      <alignment horizontal="center"/>
      <protection hidden="1"/>
    </xf>
    <xf numFmtId="0" fontId="2" fillId="0" borderId="24" xfId="9" applyFont="1" applyBorder="1" applyAlignment="1" applyProtection="1">
      <alignment horizontal="center"/>
      <protection hidden="1"/>
    </xf>
    <xf numFmtId="0" fontId="2" fillId="0" borderId="6" xfId="9" applyFont="1" applyBorder="1" applyProtection="1">
      <protection hidden="1"/>
    </xf>
    <xf numFmtId="0" fontId="6" fillId="0" borderId="0" xfId="1" applyFont="1" applyAlignment="1" applyProtection="1">
      <alignment horizontal="left"/>
      <protection hidden="1"/>
    </xf>
    <xf numFmtId="0" fontId="2" fillId="0" borderId="0" xfId="1" applyFont="1" applyAlignment="1" applyProtection="1">
      <alignment horizontal="center"/>
      <protection hidden="1"/>
    </xf>
    <xf numFmtId="0" fontId="2" fillId="0" borderId="0" xfId="1" applyFont="1" applyProtection="1">
      <protection hidden="1"/>
    </xf>
    <xf numFmtId="0" fontId="2" fillId="0" borderId="30" xfId="9" applyFont="1" applyBorder="1" applyAlignment="1" applyProtection="1">
      <alignment horizontal="center"/>
      <protection hidden="1"/>
    </xf>
    <xf numFmtId="0" fontId="2" fillId="0" borderId="14" xfId="9" applyFont="1" applyBorder="1" applyProtection="1">
      <protection hidden="1"/>
    </xf>
    <xf numFmtId="179" fontId="2" fillId="0" borderId="31" xfId="9" applyNumberFormat="1" applyFont="1" applyBorder="1"/>
    <xf numFmtId="0" fontId="2" fillId="0" borderId="2" xfId="9" applyFont="1" applyBorder="1"/>
    <xf numFmtId="0" fontId="2" fillId="0" borderId="2" xfId="9" applyFont="1" applyBorder="1" applyAlignment="1">
      <alignment horizontal="center"/>
    </xf>
    <xf numFmtId="172" fontId="2" fillId="0" borderId="2" xfId="9" applyNumberFormat="1" applyFont="1" applyBorder="1"/>
    <xf numFmtId="0" fontId="2" fillId="0" borderId="3" xfId="9" applyFont="1" applyBorder="1"/>
    <xf numFmtId="179" fontId="2" fillId="0" borderId="32" xfId="9" applyNumberFormat="1" applyFont="1" applyBorder="1"/>
    <xf numFmtId="0" fontId="2" fillId="0" borderId="0" xfId="9" applyFont="1" applyBorder="1"/>
    <xf numFmtId="0" fontId="2" fillId="0" borderId="0" xfId="9" applyFont="1" applyBorder="1" applyAlignment="1">
      <alignment horizontal="center"/>
    </xf>
    <xf numFmtId="172" fontId="2" fillId="0" borderId="0" xfId="9" applyNumberFormat="1" applyFont="1" applyBorder="1"/>
    <xf numFmtId="0" fontId="2" fillId="0" borderId="5" xfId="9" applyFont="1" applyBorder="1"/>
    <xf numFmtId="0" fontId="2" fillId="0" borderId="33" xfId="9" applyFont="1" applyBorder="1" applyAlignment="1" applyProtection="1">
      <alignment horizontal="center"/>
      <protection hidden="1"/>
    </xf>
    <xf numFmtId="0" fontId="2" fillId="0" borderId="34" xfId="9" applyFont="1" applyBorder="1" applyAlignment="1" applyProtection="1">
      <alignment horizontal="center"/>
      <protection hidden="1"/>
    </xf>
    <xf numFmtId="0" fontId="2" fillId="0" borderId="32" xfId="9" applyFont="1" applyBorder="1"/>
    <xf numFmtId="0" fontId="2" fillId="0" borderId="0" xfId="9" applyFont="1" applyBorder="1" applyAlignment="1"/>
    <xf numFmtId="0" fontId="2" fillId="0" borderId="32" xfId="1" applyFont="1" applyBorder="1" applyAlignment="1" applyProtection="1">
      <alignment horizontal="left"/>
      <protection hidden="1"/>
    </xf>
    <xf numFmtId="0" fontId="2" fillId="0" borderId="0" xfId="1" applyFont="1" applyBorder="1" applyAlignment="1" applyProtection="1">
      <alignment horizontal="left"/>
      <protection hidden="1"/>
    </xf>
    <xf numFmtId="0" fontId="2" fillId="0" borderId="0" xfId="1" applyFont="1" applyBorder="1" applyAlignment="1" applyProtection="1">
      <alignment horizontal="center"/>
      <protection hidden="1"/>
    </xf>
    <xf numFmtId="0" fontId="2" fillId="0" borderId="35" xfId="9" applyFont="1" applyBorder="1" applyAlignment="1" applyProtection="1">
      <alignment horizontal="center"/>
      <protection hidden="1"/>
    </xf>
    <xf numFmtId="0" fontId="2" fillId="0" borderId="32" xfId="1" applyFont="1" applyBorder="1" applyAlignment="1" applyProtection="1">
      <alignment horizontal="center"/>
      <protection hidden="1"/>
    </xf>
    <xf numFmtId="0" fontId="2" fillId="0" borderId="0" xfId="1" applyFont="1" applyBorder="1" applyProtection="1">
      <protection hidden="1"/>
    </xf>
    <xf numFmtId="0" fontId="2" fillId="0" borderId="5" xfId="1" applyFont="1" applyBorder="1" applyProtection="1">
      <protection hidden="1"/>
    </xf>
    <xf numFmtId="172" fontId="2" fillId="0" borderId="5" xfId="1" applyNumberFormat="1" applyFont="1" applyBorder="1" applyProtection="1">
      <protection hidden="1"/>
    </xf>
    <xf numFmtId="176" fontId="2" fillId="0" borderId="15" xfId="9" applyNumberFormat="1" applyFont="1" applyBorder="1" applyAlignment="1" applyProtection="1">
      <alignment horizontal="center"/>
      <protection hidden="1"/>
    </xf>
    <xf numFmtId="0" fontId="2" fillId="0" borderId="36" xfId="1" applyFont="1" applyBorder="1" applyAlignment="1" applyProtection="1">
      <alignment horizontal="center"/>
      <protection hidden="1"/>
    </xf>
    <xf numFmtId="0" fontId="2" fillId="0" borderId="7" xfId="1" applyFont="1" applyBorder="1" applyAlignment="1" applyProtection="1">
      <alignment horizontal="center"/>
      <protection hidden="1"/>
    </xf>
    <xf numFmtId="0" fontId="2" fillId="0" borderId="7" xfId="1" applyFont="1" applyBorder="1" applyProtection="1">
      <protection hidden="1"/>
    </xf>
    <xf numFmtId="0" fontId="2" fillId="0" borderId="8" xfId="1" applyFont="1" applyBorder="1" applyProtection="1">
      <protection hidden="1"/>
    </xf>
    <xf numFmtId="170" fontId="2" fillId="0" borderId="15" xfId="9" applyNumberFormat="1" applyFont="1" applyBorder="1" applyAlignment="1" applyProtection="1">
      <alignment horizontal="center"/>
      <protection hidden="1"/>
    </xf>
    <xf numFmtId="0" fontId="2" fillId="0" borderId="37" xfId="1" applyFont="1" applyBorder="1" applyAlignment="1" applyProtection="1">
      <alignment horizontal="left"/>
      <protection hidden="1"/>
    </xf>
    <xf numFmtId="0" fontId="2" fillId="0" borderId="38" xfId="1" applyFont="1" applyBorder="1" applyAlignment="1" applyProtection="1">
      <alignment horizontal="center"/>
      <protection hidden="1"/>
    </xf>
    <xf numFmtId="0" fontId="2" fillId="0" borderId="38" xfId="1" applyFont="1" applyBorder="1" applyProtection="1">
      <protection hidden="1"/>
    </xf>
    <xf numFmtId="0" fontId="2" fillId="0" borderId="39" xfId="1" applyFont="1" applyBorder="1" applyProtection="1">
      <protection hidden="1"/>
    </xf>
    <xf numFmtId="172" fontId="2" fillId="0" borderId="1" xfId="9" applyNumberFormat="1" applyFont="1" applyBorder="1" applyAlignment="1" applyProtection="1">
      <alignment horizontal="center"/>
      <protection hidden="1"/>
    </xf>
    <xf numFmtId="3" fontId="2" fillId="0" borderId="15" xfId="9" applyNumberFormat="1" applyFont="1" applyBorder="1" applyAlignment="1" applyProtection="1">
      <alignment horizontal="center"/>
      <protection hidden="1"/>
    </xf>
    <xf numFmtId="3" fontId="2" fillId="0" borderId="17" xfId="9" applyNumberFormat="1" applyFont="1" applyBorder="1" applyAlignment="1" applyProtection="1">
      <alignment horizontal="center"/>
      <protection hidden="1"/>
    </xf>
    <xf numFmtId="0" fontId="2" fillId="0" borderId="28" xfId="9" applyFont="1" applyBorder="1" applyAlignment="1" applyProtection="1">
      <alignment horizontal="left"/>
      <protection hidden="1"/>
    </xf>
    <xf numFmtId="172" fontId="2" fillId="0" borderId="0" xfId="9" applyNumberFormat="1" applyFont="1" applyAlignment="1" applyProtection="1">
      <alignment horizontal="center"/>
      <protection hidden="1"/>
    </xf>
    <xf numFmtId="0" fontId="2" fillId="0" borderId="0" xfId="9" applyNumberFormat="1" applyFont="1" applyAlignment="1" applyProtection="1">
      <alignment horizontal="center"/>
      <protection hidden="1"/>
    </xf>
    <xf numFmtId="175" fontId="2" fillId="0" borderId="0" xfId="9" applyNumberFormat="1" applyFont="1" applyAlignment="1" applyProtection="1">
      <alignment horizontal="center"/>
      <protection hidden="1"/>
    </xf>
    <xf numFmtId="3" fontId="2" fillId="0" borderId="0" xfId="9" applyNumberFormat="1" applyFont="1" applyAlignment="1" applyProtection="1">
      <alignment horizontal="center"/>
      <protection hidden="1"/>
    </xf>
    <xf numFmtId="1" fontId="2" fillId="0" borderId="0" xfId="9" applyNumberFormat="1" applyFont="1" applyAlignment="1" applyProtection="1">
      <alignment horizontal="center"/>
      <protection hidden="1"/>
    </xf>
    <xf numFmtId="0" fontId="2" fillId="0" borderId="0" xfId="2" applyFont="1"/>
    <xf numFmtId="176" fontId="2" fillId="0" borderId="0" xfId="9" applyNumberFormat="1" applyFont="1" applyAlignment="1" applyProtection="1">
      <alignment horizontal="center"/>
      <protection hidden="1"/>
    </xf>
    <xf numFmtId="164" fontId="2" fillId="0" borderId="0" xfId="9" applyNumberFormat="1" applyFont="1" applyAlignment="1" applyProtection="1">
      <alignment horizontal="left"/>
      <protection hidden="1"/>
    </xf>
    <xf numFmtId="164" fontId="2" fillId="0" borderId="7" xfId="9" applyNumberFormat="1" applyFont="1" applyBorder="1" applyAlignment="1" applyProtection="1">
      <alignment horizontal="center"/>
      <protection hidden="1"/>
    </xf>
    <xf numFmtId="1" fontId="2" fillId="0" borderId="0" xfId="2" applyNumberFormat="1" applyFont="1"/>
    <xf numFmtId="0" fontId="2" fillId="0" borderId="0" xfId="2" quotePrefix="1" applyFont="1"/>
    <xf numFmtId="0" fontId="2" fillId="0" borderId="7" xfId="9" applyFont="1" applyBorder="1" applyAlignment="1" applyProtection="1">
      <alignment horizontal="center"/>
      <protection hidden="1"/>
    </xf>
    <xf numFmtId="175" fontId="2" fillId="0" borderId="0" xfId="2" applyNumberFormat="1" applyFont="1"/>
    <xf numFmtId="10" fontId="2" fillId="0" borderId="0" xfId="9" applyNumberFormat="1" applyFont="1" applyAlignment="1" applyProtection="1">
      <alignment horizontal="center"/>
      <protection hidden="1"/>
    </xf>
    <xf numFmtId="0" fontId="2" fillId="0" borderId="22" xfId="9" applyFont="1" applyBorder="1" applyAlignment="1" applyProtection="1">
      <alignment horizontal="right"/>
      <protection hidden="1"/>
    </xf>
    <xf numFmtId="164" fontId="2" fillId="0" borderId="23" xfId="9" applyNumberFormat="1" applyFont="1" applyBorder="1" applyAlignment="1" applyProtection="1">
      <alignment horizontal="center"/>
      <protection hidden="1"/>
    </xf>
    <xf numFmtId="0" fontId="2" fillId="0" borderId="28" xfId="9" applyFont="1" applyBorder="1" applyAlignment="1" applyProtection="1">
      <alignment horizontal="right"/>
      <protection hidden="1"/>
    </xf>
    <xf numFmtId="3" fontId="2" fillId="0" borderId="29" xfId="9" applyNumberFormat="1" applyFont="1" applyBorder="1" applyAlignment="1" applyProtection="1">
      <alignment horizontal="center"/>
      <protection hidden="1"/>
    </xf>
    <xf numFmtId="0" fontId="2" fillId="0" borderId="24" xfId="9" applyFont="1" applyBorder="1" applyAlignment="1" applyProtection="1">
      <alignment horizontal="right"/>
      <protection hidden="1"/>
    </xf>
    <xf numFmtId="10" fontId="2" fillId="0" borderId="25" xfId="9" applyNumberFormat="1" applyFont="1" applyBorder="1" applyAlignment="1" applyProtection="1">
      <alignment horizontal="center"/>
      <protection hidden="1"/>
    </xf>
    <xf numFmtId="49" fontId="2" fillId="0" borderId="0" xfId="2" applyNumberFormat="1" applyFont="1"/>
    <xf numFmtId="2" fontId="2" fillId="0" borderId="0" xfId="2" applyNumberFormat="1" applyFont="1"/>
    <xf numFmtId="164" fontId="2" fillId="0" borderId="0" xfId="2" applyNumberFormat="1" applyFont="1"/>
    <xf numFmtId="164" fontId="2" fillId="0" borderId="0" xfId="9" applyNumberFormat="1" applyFont="1" applyProtection="1">
      <protection hidden="1"/>
    </xf>
    <xf numFmtId="0" fontId="2" fillId="0" borderId="0" xfId="9" applyNumberFormat="1" applyFont="1" applyProtection="1">
      <protection hidden="1"/>
    </xf>
    <xf numFmtId="2" fontId="2" fillId="0" borderId="0" xfId="9" applyNumberFormat="1" applyFont="1" applyProtection="1">
      <protection hidden="1"/>
    </xf>
    <xf numFmtId="0" fontId="6" fillId="2" borderId="0" xfId="10" applyFont="1" applyFill="1" applyAlignment="1" applyProtection="1">
      <alignment horizontal="left"/>
      <protection hidden="1"/>
    </xf>
    <xf numFmtId="164" fontId="2" fillId="7" borderId="15" xfId="9" applyNumberFormat="1" applyFont="1" applyFill="1" applyBorder="1" applyAlignment="1" applyProtection="1">
      <alignment horizontal="center"/>
      <protection hidden="1"/>
    </xf>
    <xf numFmtId="3" fontId="2" fillId="7" borderId="0" xfId="9" applyNumberFormat="1" applyFont="1" applyFill="1" applyProtection="1">
      <protection hidden="1"/>
    </xf>
    <xf numFmtId="0" fontId="2" fillId="7" borderId="15" xfId="9" applyFont="1" applyFill="1" applyBorder="1" applyAlignment="1" applyProtection="1">
      <alignment horizontal="center"/>
      <protection hidden="1"/>
    </xf>
    <xf numFmtId="3" fontId="2" fillId="7" borderId="13" xfId="9" applyNumberFormat="1" applyFont="1" applyFill="1" applyBorder="1" applyAlignment="1" applyProtection="1">
      <alignment horizontal="center"/>
      <protection hidden="1"/>
    </xf>
    <xf numFmtId="0" fontId="2" fillId="7" borderId="0" xfId="9" applyFont="1" applyFill="1" applyProtection="1">
      <protection hidden="1"/>
    </xf>
    <xf numFmtId="170" fontId="2" fillId="7" borderId="0" xfId="9" applyNumberFormat="1" applyFont="1" applyFill="1" applyAlignment="1" applyProtection="1">
      <alignment horizontal="center"/>
      <protection hidden="1"/>
    </xf>
    <xf numFmtId="3" fontId="2" fillId="7" borderId="0" xfId="9" applyNumberFormat="1" applyFont="1" applyFill="1" applyBorder="1" applyAlignment="1" applyProtection="1">
      <alignment horizontal="center"/>
      <protection hidden="1"/>
    </xf>
    <xf numFmtId="0" fontId="2" fillId="7" borderId="0" xfId="9" applyFont="1" applyFill="1" applyBorder="1" applyAlignment="1" applyProtection="1">
      <alignment horizontal="center"/>
      <protection hidden="1"/>
    </xf>
    <xf numFmtId="0" fontId="2" fillId="6" borderId="0" xfId="9" applyFont="1" applyFill="1" applyAlignment="1" applyProtection="1">
      <alignment horizontal="center"/>
      <protection hidden="1"/>
    </xf>
    <xf numFmtId="1" fontId="2" fillId="0" borderId="0" xfId="0" applyNumberFormat="1" applyFont="1" applyAlignment="1" applyProtection="1">
      <alignment horizontal="right"/>
      <protection hidden="1"/>
    </xf>
    <xf numFmtId="0" fontId="2" fillId="0" borderId="0" xfId="0" quotePrefix="1" applyNumberFormat="1" applyFont="1" applyProtection="1">
      <protection hidden="1"/>
    </xf>
    <xf numFmtId="0" fontId="2" fillId="0" borderId="0" xfId="5" applyFont="1"/>
    <xf numFmtId="0" fontId="2" fillId="0" borderId="0" xfId="5" applyFont="1" applyAlignment="1">
      <alignment horizontal="center"/>
    </xf>
    <xf numFmtId="0" fontId="2" fillId="0" borderId="0" xfId="5" applyFont="1" applyBorder="1"/>
    <xf numFmtId="0" fontId="2" fillId="0" borderId="0" xfId="5" applyFont="1" applyBorder="1" applyAlignment="1">
      <alignment horizontal="center"/>
    </xf>
    <xf numFmtId="0" fontId="2" fillId="0" borderId="0" xfId="5" applyFont="1" applyBorder="1" applyAlignment="1" applyProtection="1">
      <alignment horizontal="center"/>
      <protection hidden="1"/>
    </xf>
    <xf numFmtId="0" fontId="2" fillId="0" borderId="31" xfId="5" applyFont="1" applyBorder="1"/>
    <xf numFmtId="0" fontId="2" fillId="0" borderId="2" xfId="5" applyFont="1" applyBorder="1"/>
    <xf numFmtId="0" fontId="2" fillId="0" borderId="3" xfId="5" applyFont="1" applyBorder="1"/>
    <xf numFmtId="0" fontId="2" fillId="0" borderId="0" xfId="5" applyFont="1" applyAlignment="1" applyProtection="1">
      <alignment horizontal="left"/>
      <protection hidden="1"/>
    </xf>
    <xf numFmtId="0" fontId="2" fillId="0" borderId="0" xfId="5" applyFont="1" applyProtection="1">
      <protection hidden="1"/>
    </xf>
    <xf numFmtId="0" fontId="2" fillId="5" borderId="0" xfId="5" applyFont="1" applyFill="1" applyBorder="1" applyAlignment="1">
      <alignment horizontal="center"/>
    </xf>
    <xf numFmtId="0" fontId="2" fillId="0" borderId="32" xfId="5" applyFont="1" applyBorder="1"/>
    <xf numFmtId="0" fontId="2" fillId="0" borderId="1" xfId="5" applyFont="1" applyBorder="1"/>
    <xf numFmtId="0" fontId="2" fillId="0" borderId="1" xfId="5" applyFont="1" applyBorder="1" applyAlignment="1" applyProtection="1">
      <alignment horizontal="center"/>
      <protection hidden="1"/>
    </xf>
    <xf numFmtId="0" fontId="2" fillId="0" borderId="1" xfId="5" applyFont="1" applyBorder="1" applyAlignment="1">
      <alignment horizontal="center"/>
    </xf>
    <xf numFmtId="0" fontId="2" fillId="0" borderId="5" xfId="5" applyFont="1" applyBorder="1"/>
    <xf numFmtId="0" fontId="2" fillId="0" borderId="4" xfId="5" applyFont="1" applyBorder="1"/>
    <xf numFmtId="0" fontId="2" fillId="0" borderId="4" xfId="5" applyFont="1" applyBorder="1" applyAlignment="1" applyProtection="1">
      <alignment horizontal="center"/>
      <protection hidden="1"/>
    </xf>
    <xf numFmtId="3" fontId="2" fillId="5" borderId="0" xfId="5" applyNumberFormat="1" applyFont="1" applyFill="1" applyBorder="1" applyAlignment="1">
      <alignment horizontal="center"/>
    </xf>
    <xf numFmtId="0" fontId="2" fillId="0" borderId="6" xfId="5" applyFont="1" applyBorder="1"/>
    <xf numFmtId="0" fontId="2" fillId="0" borderId="6" xfId="5" applyFont="1" applyBorder="1" applyAlignment="1" applyProtection="1">
      <alignment horizontal="center"/>
      <protection hidden="1"/>
    </xf>
    <xf numFmtId="3" fontId="2" fillId="5" borderId="0" xfId="5" applyNumberFormat="1" applyFont="1" applyFill="1" applyAlignment="1">
      <alignment horizontal="center"/>
    </xf>
    <xf numFmtId="49" fontId="2" fillId="0" borderId="1" xfId="5" applyNumberFormat="1" applyFont="1" applyBorder="1"/>
    <xf numFmtId="172" fontId="2" fillId="0" borderId="5" xfId="5" applyNumberFormat="1" applyFont="1" applyBorder="1"/>
    <xf numFmtId="0" fontId="2" fillId="5" borderId="0" xfId="5" applyFont="1" applyFill="1" applyAlignment="1">
      <alignment horizontal="center"/>
    </xf>
    <xf numFmtId="49" fontId="2" fillId="0" borderId="4" xfId="5" applyNumberFormat="1" applyFont="1" applyBorder="1"/>
    <xf numFmtId="0" fontId="2" fillId="0" borderId="4" xfId="5" applyFont="1" applyBorder="1" applyAlignment="1">
      <alignment horizontal="center"/>
    </xf>
    <xf numFmtId="49" fontId="2" fillId="0" borderId="6" xfId="5" applyNumberFormat="1" applyFont="1" applyBorder="1"/>
    <xf numFmtId="0" fontId="2" fillId="0" borderId="6" xfId="5" applyFont="1" applyBorder="1" applyAlignment="1">
      <alignment horizontal="center"/>
    </xf>
    <xf numFmtId="0" fontId="2" fillId="0" borderId="6" xfId="5" applyFont="1" applyBorder="1" applyAlignment="1">
      <alignment horizontal="right"/>
    </xf>
    <xf numFmtId="0" fontId="2" fillId="6" borderId="0" xfId="5" applyFont="1" applyFill="1"/>
    <xf numFmtId="0" fontId="2" fillId="6" borderId="0" xfId="5" applyFont="1" applyFill="1" applyAlignment="1">
      <alignment horizontal="center"/>
    </xf>
    <xf numFmtId="49" fontId="2" fillId="0" borderId="0" xfId="5" applyNumberFormat="1" applyFont="1" applyBorder="1"/>
    <xf numFmtId="49" fontId="2" fillId="0" borderId="0" xfId="5" applyNumberFormat="1" applyFont="1"/>
    <xf numFmtId="0" fontId="2" fillId="0" borderId="0" xfId="5" applyFont="1" applyAlignment="1">
      <alignment horizontal="left"/>
    </xf>
    <xf numFmtId="0" fontId="2" fillId="0" borderId="36" xfId="5" applyFont="1" applyBorder="1"/>
    <xf numFmtId="0" fontId="2" fillId="0" borderId="7" xfId="5" applyFont="1" applyBorder="1"/>
    <xf numFmtId="0" fontId="2" fillId="0" borderId="8" xfId="5" applyFont="1" applyBorder="1"/>
    <xf numFmtId="0" fontId="2" fillId="6" borderId="0" xfId="5" applyFont="1" applyFill="1" applyAlignment="1">
      <alignment horizontal="left"/>
    </xf>
    <xf numFmtId="3" fontId="2" fillId="6" borderId="0" xfId="9" applyNumberFormat="1" applyFont="1" applyFill="1" applyAlignment="1" applyProtection="1">
      <alignment horizontal="left"/>
      <protection hidden="1"/>
    </xf>
    <xf numFmtId="0" fontId="2" fillId="6" borderId="0" xfId="9" applyFont="1" applyFill="1" applyAlignment="1" applyProtection="1">
      <alignment horizontal="left"/>
      <protection hidden="1"/>
    </xf>
    <xf numFmtId="1" fontId="2" fillId="0" borderId="0" xfId="0" applyNumberFormat="1" applyFont="1" applyFill="1" applyProtection="1">
      <protection hidden="1"/>
    </xf>
    <xf numFmtId="0" fontId="2" fillId="6" borderId="0" xfId="0" applyFont="1" applyFill="1"/>
    <xf numFmtId="0" fontId="2" fillId="0" borderId="0" xfId="5" applyFont="1" applyAlignment="1" applyProtection="1">
      <alignment horizontal="center"/>
      <protection hidden="1"/>
    </xf>
    <xf numFmtId="0" fontId="2" fillId="0" borderId="0" xfId="5" applyFont="1" applyAlignment="1" applyProtection="1">
      <protection hidden="1"/>
    </xf>
    <xf numFmtId="0" fontId="2" fillId="0" borderId="0" xfId="4" applyFont="1"/>
    <xf numFmtId="1" fontId="2" fillId="0" borderId="0" xfId="5" applyNumberFormat="1" applyFont="1" applyBorder="1" applyAlignment="1" applyProtection="1">
      <alignment horizontal="left"/>
      <protection hidden="1"/>
    </xf>
    <xf numFmtId="3" fontId="2" fillId="0" borderId="0" xfId="5" applyNumberFormat="1" applyFont="1" applyAlignment="1" applyProtection="1">
      <alignment horizontal="left"/>
      <protection hidden="1"/>
    </xf>
    <xf numFmtId="4" fontId="2" fillId="0" borderId="0" xfId="5" applyNumberFormat="1" applyFont="1" applyAlignment="1" applyProtection="1">
      <alignment horizontal="center"/>
      <protection hidden="1"/>
    </xf>
    <xf numFmtId="164" fontId="2" fillId="0" borderId="0" xfId="5" applyNumberFormat="1" applyFont="1" applyAlignment="1" applyProtection="1">
      <alignment horizontal="center"/>
      <protection hidden="1"/>
    </xf>
    <xf numFmtId="3" fontId="2" fillId="0" borderId="0" xfId="5" applyNumberFormat="1" applyFont="1" applyAlignment="1" applyProtection="1">
      <alignment horizontal="center"/>
      <protection hidden="1"/>
    </xf>
    <xf numFmtId="0" fontId="2" fillId="0" borderId="0" xfId="5" applyFont="1" applyBorder="1" applyAlignment="1" applyProtection="1">
      <alignment horizontal="left"/>
      <protection hidden="1"/>
    </xf>
    <xf numFmtId="0" fontId="2" fillId="0" borderId="0" xfId="5" applyFont="1" applyBorder="1" applyAlignment="1" applyProtection="1">
      <protection hidden="1"/>
    </xf>
    <xf numFmtId="1" fontId="2" fillId="0" borderId="0" xfId="5" applyNumberFormat="1" applyFont="1" applyBorder="1" applyAlignment="1" applyProtection="1">
      <alignment horizontal="center"/>
      <protection hidden="1"/>
    </xf>
    <xf numFmtId="184" fontId="2" fillId="0" borderId="0" xfId="5" applyNumberFormat="1" applyFont="1" applyBorder="1" applyAlignment="1" applyProtection="1">
      <protection hidden="1"/>
    </xf>
    <xf numFmtId="3" fontId="2" fillId="0" borderId="0" xfId="5" applyNumberFormat="1" applyFont="1" applyBorder="1" applyAlignment="1" applyProtection="1">
      <alignment horizontal="center"/>
      <protection hidden="1"/>
    </xf>
    <xf numFmtId="200" fontId="2" fillId="0" borderId="0" xfId="5" applyNumberFormat="1" applyFont="1" applyBorder="1" applyAlignment="1" applyProtection="1">
      <alignment horizontal="center"/>
      <protection hidden="1"/>
    </xf>
    <xf numFmtId="182" fontId="2" fillId="0" borderId="0" xfId="5" applyNumberFormat="1" applyFont="1" applyBorder="1" applyAlignment="1" applyProtection="1">
      <alignment horizontal="center"/>
      <protection hidden="1"/>
    </xf>
    <xf numFmtId="0" fontId="2" fillId="0" borderId="32" xfId="4" applyFont="1" applyBorder="1"/>
    <xf numFmtId="0" fontId="2" fillId="0" borderId="0" xfId="4" quotePrefix="1" applyFont="1"/>
    <xf numFmtId="1" fontId="2" fillId="0" borderId="0" xfId="4" applyNumberFormat="1" applyFont="1"/>
    <xf numFmtId="12" fontId="2" fillId="0" borderId="0" xfId="4" applyNumberFormat="1" applyFont="1"/>
    <xf numFmtId="3" fontId="2" fillId="0" borderId="0" xfId="4" applyNumberFormat="1" applyFont="1"/>
    <xf numFmtId="0" fontId="2" fillId="0" borderId="0" xfId="5" applyFont="1" applyBorder="1" applyProtection="1">
      <protection hidden="1"/>
    </xf>
    <xf numFmtId="174" fontId="2" fillId="0" borderId="0" xfId="5" applyNumberFormat="1" applyFont="1" applyBorder="1" applyAlignment="1" applyProtection="1">
      <alignment horizontal="center"/>
      <protection hidden="1"/>
    </xf>
    <xf numFmtId="183" fontId="2" fillId="0" borderId="0" xfId="5" applyNumberFormat="1" applyFont="1" applyBorder="1" applyAlignment="1" applyProtection="1">
      <alignment horizontal="center"/>
      <protection hidden="1"/>
    </xf>
    <xf numFmtId="185" fontId="2" fillId="0" borderId="0" xfId="5" applyNumberFormat="1" applyFont="1" applyBorder="1" applyAlignment="1" applyProtection="1">
      <alignment horizontal="center"/>
      <protection hidden="1"/>
    </xf>
    <xf numFmtId="198" fontId="2" fillId="0" borderId="0" xfId="5" applyNumberFormat="1" applyFont="1" applyBorder="1" applyAlignment="1" applyProtection="1">
      <alignment horizontal="center"/>
      <protection hidden="1"/>
    </xf>
    <xf numFmtId="186" fontId="2" fillId="0" borderId="0" xfId="5" applyNumberFormat="1" applyFont="1" applyBorder="1" applyAlignment="1" applyProtection="1">
      <alignment horizontal="center"/>
      <protection hidden="1"/>
    </xf>
    <xf numFmtId="1" fontId="2" fillId="0" borderId="0" xfId="5" applyNumberFormat="1" applyFont="1" applyAlignment="1" applyProtection="1">
      <alignment horizontal="center"/>
      <protection hidden="1"/>
    </xf>
    <xf numFmtId="187" fontId="2" fillId="0" borderId="0" xfId="5" applyNumberFormat="1" applyFont="1" applyAlignment="1" applyProtection="1">
      <alignment horizontal="center"/>
      <protection hidden="1"/>
    </xf>
    <xf numFmtId="174" fontId="2" fillId="0" borderId="0" xfId="5" applyNumberFormat="1" applyFont="1" applyAlignment="1" applyProtection="1">
      <alignment horizontal="center"/>
      <protection hidden="1"/>
    </xf>
    <xf numFmtId="188" fontId="2" fillId="0" borderId="0" xfId="5" applyNumberFormat="1" applyFont="1" applyProtection="1">
      <protection hidden="1"/>
    </xf>
    <xf numFmtId="197" fontId="2" fillId="0" borderId="0" xfId="5" applyNumberFormat="1" applyFont="1" applyBorder="1" applyAlignment="1" applyProtection="1">
      <alignment horizontal="center"/>
      <protection hidden="1"/>
    </xf>
    <xf numFmtId="189" fontId="2" fillId="0" borderId="0" xfId="5" applyNumberFormat="1" applyFont="1" applyAlignment="1" applyProtection="1">
      <alignment horizontal="center"/>
      <protection hidden="1"/>
    </xf>
    <xf numFmtId="190" fontId="2" fillId="0" borderId="0" xfId="5" applyNumberFormat="1" applyFont="1" applyAlignment="1" applyProtection="1">
      <alignment horizontal="center"/>
      <protection hidden="1"/>
    </xf>
    <xf numFmtId="191" fontId="2" fillId="0" borderId="0" xfId="5" applyNumberFormat="1" applyFont="1" applyProtection="1">
      <protection hidden="1"/>
    </xf>
    <xf numFmtId="195" fontId="2" fillId="0" borderId="0" xfId="5" applyNumberFormat="1" applyFont="1" applyAlignment="1" applyProtection="1">
      <alignment horizontal="right"/>
      <protection hidden="1"/>
    </xf>
    <xf numFmtId="3" fontId="2" fillId="0" borderId="0" xfId="5" applyNumberFormat="1" applyFont="1" applyProtection="1">
      <protection hidden="1"/>
    </xf>
    <xf numFmtId="164" fontId="2" fillId="0" borderId="0" xfId="5" applyNumberFormat="1" applyFont="1" applyBorder="1" applyAlignment="1" applyProtection="1">
      <alignment horizontal="center"/>
      <protection hidden="1"/>
    </xf>
    <xf numFmtId="192" fontId="2" fillId="0" borderId="0" xfId="5" applyNumberFormat="1" applyFont="1" applyAlignment="1" applyProtection="1">
      <alignment horizontal="center"/>
      <protection hidden="1"/>
    </xf>
    <xf numFmtId="194" fontId="2" fillId="0" borderId="0" xfId="5" applyNumberFormat="1" applyFont="1" applyAlignment="1" applyProtection="1">
      <alignment horizontal="center"/>
      <protection hidden="1"/>
    </xf>
    <xf numFmtId="193" fontId="2" fillId="0" borderId="0" xfId="5" applyNumberFormat="1" applyFont="1" applyAlignment="1" applyProtection="1">
      <alignment horizontal="center"/>
      <protection hidden="1"/>
    </xf>
    <xf numFmtId="164" fontId="2" fillId="0" borderId="0" xfId="5" applyNumberFormat="1" applyFont="1" applyBorder="1" applyAlignment="1" applyProtection="1">
      <alignment horizontal="left"/>
      <protection hidden="1"/>
    </xf>
    <xf numFmtId="2" fontId="2" fillId="0" borderId="0" xfId="5" applyNumberFormat="1" applyFont="1" applyBorder="1" applyAlignment="1" applyProtection="1">
      <alignment horizontal="center"/>
      <protection hidden="1"/>
    </xf>
    <xf numFmtId="196" fontId="2" fillId="0" borderId="0" xfId="5" applyNumberFormat="1" applyFont="1" applyAlignment="1" applyProtection="1">
      <alignment horizontal="left"/>
      <protection hidden="1"/>
    </xf>
    <xf numFmtId="199" fontId="2" fillId="0" borderId="0" xfId="5" applyNumberFormat="1" applyFont="1" applyAlignment="1" applyProtection="1">
      <alignment horizontal="left"/>
      <protection hidden="1"/>
    </xf>
    <xf numFmtId="0" fontId="2" fillId="0" borderId="0" xfId="5" applyFont="1" applyAlignment="1" applyProtection="1">
      <alignment horizontal="right"/>
      <protection hidden="1"/>
    </xf>
    <xf numFmtId="3" fontId="2" fillId="6" borderId="0" xfId="0" applyNumberFormat="1" applyFont="1" applyFill="1"/>
    <xf numFmtId="1" fontId="2" fillId="6" borderId="0" xfId="0" applyNumberFormat="1" applyFont="1" applyFill="1"/>
    <xf numFmtId="49" fontId="2" fillId="0" borderId="0" xfId="0" applyNumberFormat="1" applyFont="1" applyFill="1"/>
    <xf numFmtId="1" fontId="2" fillId="0" borderId="0" xfId="9" applyNumberFormat="1" applyFont="1" applyProtection="1">
      <protection hidden="1"/>
    </xf>
    <xf numFmtId="3" fontId="2" fillId="2" borderId="0" xfId="0" applyNumberFormat="1" applyFont="1" applyFill="1" applyProtection="1">
      <protection hidden="1"/>
    </xf>
    <xf numFmtId="0" fontId="2" fillId="7" borderId="0" xfId="10" applyFont="1" applyFill="1" applyAlignment="1" applyProtection="1">
      <alignment horizontal="left"/>
      <protection hidden="1"/>
    </xf>
    <xf numFmtId="1" fontId="2" fillId="7" borderId="0" xfId="10" applyNumberFormat="1" applyFont="1" applyFill="1" applyAlignment="1" applyProtection="1">
      <alignment horizontal="left"/>
      <protection hidden="1"/>
    </xf>
    <xf numFmtId="0" fontId="2" fillId="2" borderId="0" xfId="0" applyFont="1" applyFill="1"/>
    <xf numFmtId="0" fontId="2" fillId="2" borderId="0" xfId="0" applyFont="1" applyFill="1" applyBorder="1" applyAlignment="1" applyProtection="1">
      <alignment horizontal="center"/>
      <protection hidden="1"/>
    </xf>
    <xf numFmtId="49" fontId="4" fillId="3" borderId="9" xfId="0" applyNumberFormat="1" applyFont="1" applyFill="1" applyBorder="1" applyAlignment="1" applyProtection="1">
      <alignment horizontal="center"/>
      <protection locked="0"/>
    </xf>
    <xf numFmtId="1" fontId="4" fillId="3" borderId="9" xfId="0" applyNumberFormat="1" applyFont="1" applyFill="1" applyBorder="1" applyAlignment="1" applyProtection="1">
      <alignment horizontal="center"/>
      <protection locked="0"/>
    </xf>
    <xf numFmtId="0" fontId="4" fillId="3" borderId="9" xfId="0" applyFont="1" applyFill="1" applyBorder="1" applyAlignment="1" applyProtection="1">
      <alignment horizontal="center"/>
      <protection locked="0"/>
    </xf>
    <xf numFmtId="176" fontId="4" fillId="3" borderId="9" xfId="0" applyNumberFormat="1" applyFont="1" applyFill="1" applyBorder="1" applyAlignment="1" applyProtection="1">
      <alignment horizontal="center"/>
      <protection locked="0"/>
    </xf>
    <xf numFmtId="180" fontId="4" fillId="3" borderId="9" xfId="0" applyNumberFormat="1" applyFont="1" applyFill="1" applyBorder="1" applyAlignment="1" applyProtection="1">
      <alignment horizontal="center"/>
      <protection locked="0"/>
    </xf>
    <xf numFmtId="171" fontId="4" fillId="3" borderId="9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/>
      <protection hidden="1"/>
    </xf>
    <xf numFmtId="0" fontId="2" fillId="0" borderId="1" xfId="6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0" borderId="4" xfId="6" applyFont="1" applyBorder="1" applyAlignment="1" applyProtection="1">
      <alignment horizontal="center"/>
      <protection hidden="1"/>
    </xf>
    <xf numFmtId="0" fontId="2" fillId="0" borderId="4" xfId="0" applyFont="1" applyBorder="1" applyAlignment="1" applyProtection="1">
      <alignment horizontal="center"/>
      <protection hidden="1"/>
    </xf>
    <xf numFmtId="0" fontId="2" fillId="0" borderId="6" xfId="0" applyFont="1" applyBorder="1" applyAlignment="1" applyProtection="1">
      <alignment horizontal="center"/>
      <protection hidden="1"/>
    </xf>
    <xf numFmtId="1" fontId="2" fillId="5" borderId="0" xfId="5" applyNumberFormat="1" applyFont="1" applyFill="1" applyAlignment="1">
      <alignment horizontal="center"/>
    </xf>
    <xf numFmtId="0" fontId="2" fillId="0" borderId="4" xfId="5" applyFont="1" applyFill="1" applyBorder="1" applyAlignment="1" applyProtection="1">
      <alignment horizontal="center"/>
      <protection hidden="1"/>
    </xf>
    <xf numFmtId="0" fontId="8" fillId="0" borderId="0" xfId="5" applyFont="1"/>
    <xf numFmtId="0" fontId="2" fillId="0" borderId="3" xfId="9" applyFont="1" applyBorder="1" applyAlignment="1" applyProtection="1">
      <alignment horizontal="center"/>
      <protection hidden="1"/>
    </xf>
    <xf numFmtId="0" fontId="2" fillId="0" borderId="40" xfId="9" applyFont="1" applyBorder="1" applyAlignment="1" applyProtection="1">
      <alignment horizontal="center"/>
      <protection hidden="1"/>
    </xf>
    <xf numFmtId="0" fontId="2" fillId="0" borderId="5" xfId="9" applyFont="1" applyBorder="1" applyAlignment="1" applyProtection="1">
      <alignment horizontal="center"/>
      <protection hidden="1"/>
    </xf>
    <xf numFmtId="0" fontId="2" fillId="0" borderId="7" xfId="9" applyFont="1" applyBorder="1" applyAlignment="1" applyProtection="1">
      <alignment horizontal="left"/>
      <protection hidden="1"/>
    </xf>
    <xf numFmtId="0" fontId="2" fillId="0" borderId="8" xfId="9" applyFont="1" applyBorder="1" applyAlignment="1" applyProtection="1">
      <alignment horizontal="center"/>
      <protection hidden="1"/>
    </xf>
    <xf numFmtId="0" fontId="2" fillId="6" borderId="4" xfId="9" applyFont="1" applyFill="1" applyBorder="1" applyAlignment="1" applyProtection="1">
      <alignment horizontal="center"/>
      <protection hidden="1"/>
    </xf>
    <xf numFmtId="0" fontId="2" fillId="6" borderId="6" xfId="9" applyFont="1" applyFill="1" applyBorder="1" applyAlignment="1" applyProtection="1">
      <alignment horizontal="center"/>
      <protection hidden="1"/>
    </xf>
    <xf numFmtId="1" fontId="2" fillId="0" borderId="0" xfId="0" quotePrefix="1" applyNumberFormat="1" applyFont="1" applyProtection="1">
      <protection hidden="1"/>
    </xf>
    <xf numFmtId="0" fontId="2" fillId="2" borderId="0" xfId="0" applyNumberFormat="1" applyFont="1" applyFill="1" applyBorder="1" applyAlignment="1" applyProtection="1">
      <alignment horizontal="center"/>
      <protection hidden="1"/>
    </xf>
    <xf numFmtId="0" fontId="4" fillId="2" borderId="0" xfId="10" applyFont="1" applyFill="1" applyAlignment="1" applyProtection="1">
      <alignment horizontal="left"/>
      <protection hidden="1"/>
    </xf>
    <xf numFmtId="170" fontId="2" fillId="7" borderId="0" xfId="9" quotePrefix="1" applyNumberFormat="1" applyFont="1" applyFill="1" applyProtection="1">
      <protection hidden="1"/>
    </xf>
    <xf numFmtId="177" fontId="2" fillId="0" borderId="0" xfId="0" applyNumberFormat="1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left"/>
      <protection hidden="1"/>
    </xf>
    <xf numFmtId="0" fontId="2" fillId="0" borderId="31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2" fillId="0" borderId="32" xfId="0" applyFont="1" applyBorder="1" applyProtection="1">
      <protection hidden="1"/>
    </xf>
    <xf numFmtId="3" fontId="2" fillId="0" borderId="0" xfId="0" applyNumberFormat="1" applyFont="1" applyBorder="1" applyProtection="1">
      <protection hidden="1"/>
    </xf>
    <xf numFmtId="0" fontId="2" fillId="0" borderId="0" xfId="0" applyFont="1" applyBorder="1" applyProtection="1">
      <protection hidden="1"/>
    </xf>
    <xf numFmtId="1" fontId="2" fillId="0" borderId="0" xfId="0" applyNumberFormat="1" applyFont="1" applyBorder="1" applyProtection="1">
      <protection hidden="1"/>
    </xf>
    <xf numFmtId="0" fontId="2" fillId="0" borderId="5" xfId="0" applyFont="1" applyBorder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3" fontId="2" fillId="0" borderId="0" xfId="0" applyNumberFormat="1" applyFont="1" applyProtection="1">
      <protection hidden="1"/>
    </xf>
    <xf numFmtId="0" fontId="2" fillId="5" borderId="0" xfId="0" applyFont="1" applyFill="1" applyProtection="1">
      <protection hidden="1"/>
    </xf>
    <xf numFmtId="3" fontId="2" fillId="0" borderId="0" xfId="0" applyNumberFormat="1" applyFont="1" applyAlignment="1" applyProtection="1">
      <alignment horizontal="left"/>
      <protection hidden="1"/>
    </xf>
    <xf numFmtId="177" fontId="2" fillId="0" borderId="2" xfId="0" applyNumberFormat="1" applyFont="1" applyBorder="1" applyProtection="1">
      <protection hidden="1"/>
    </xf>
    <xf numFmtId="3" fontId="2" fillId="0" borderId="0" xfId="0" applyNumberFormat="1" applyFont="1" applyAlignment="1" applyProtection="1">
      <alignment horizontal="center"/>
      <protection hidden="1"/>
    </xf>
    <xf numFmtId="0" fontId="2" fillId="0" borderId="0" xfId="0" applyFont="1" applyFill="1" applyProtection="1">
      <protection hidden="1"/>
    </xf>
    <xf numFmtId="0" fontId="2" fillId="0" borderId="0" xfId="0" applyFont="1" applyFill="1" applyAlignment="1" applyProtection="1">
      <alignment horizontal="right"/>
      <protection hidden="1"/>
    </xf>
    <xf numFmtId="177" fontId="2" fillId="0" borderId="0" xfId="0" applyNumberFormat="1" applyFont="1" applyFill="1" applyProtection="1">
      <protection hidden="1"/>
    </xf>
    <xf numFmtId="0" fontId="2" fillId="7" borderId="32" xfId="0" applyFont="1" applyFill="1" applyBorder="1" applyProtection="1">
      <protection hidden="1"/>
    </xf>
    <xf numFmtId="3" fontId="2" fillId="7" borderId="0" xfId="0" applyNumberFormat="1" applyFont="1" applyFill="1" applyBorder="1" applyProtection="1">
      <protection hidden="1"/>
    </xf>
    <xf numFmtId="0" fontId="2" fillId="7" borderId="0" xfId="0" applyFont="1" applyFill="1" applyBorder="1" applyProtection="1">
      <protection hidden="1"/>
    </xf>
    <xf numFmtId="1" fontId="2" fillId="7" borderId="0" xfId="0" applyNumberFormat="1" applyFont="1" applyFill="1" applyBorder="1" applyProtection="1">
      <protection hidden="1"/>
    </xf>
    <xf numFmtId="0" fontId="2" fillId="7" borderId="5" xfId="0" applyFont="1" applyFill="1" applyBorder="1" applyProtection="1">
      <protection hidden="1"/>
    </xf>
    <xf numFmtId="178" fontId="2" fillId="0" borderId="0" xfId="0" applyNumberFormat="1" applyFont="1" applyProtection="1">
      <protection hidden="1"/>
    </xf>
    <xf numFmtId="178" fontId="2" fillId="0" borderId="2" xfId="0" applyNumberFormat="1" applyFont="1" applyBorder="1" applyProtection="1">
      <protection hidden="1"/>
    </xf>
    <xf numFmtId="0" fontId="2" fillId="7" borderId="36" xfId="0" applyFont="1" applyFill="1" applyBorder="1" applyProtection="1">
      <protection hidden="1"/>
    </xf>
    <xf numFmtId="0" fontId="2" fillId="7" borderId="7" xfId="0" applyFont="1" applyFill="1" applyBorder="1" applyProtection="1">
      <protection hidden="1"/>
    </xf>
    <xf numFmtId="1" fontId="2" fillId="7" borderId="7" xfId="0" applyNumberFormat="1" applyFont="1" applyFill="1" applyBorder="1" applyProtection="1">
      <protection hidden="1"/>
    </xf>
    <xf numFmtId="0" fontId="2" fillId="7" borderId="8" xfId="0" applyFont="1" applyFill="1" applyBorder="1" applyProtection="1">
      <protection hidden="1"/>
    </xf>
    <xf numFmtId="2" fontId="2" fillId="0" borderId="0" xfId="0" applyNumberFormat="1" applyFont="1" applyProtection="1">
      <protection hidden="1"/>
    </xf>
    <xf numFmtId="0" fontId="2" fillId="0" borderId="0" xfId="0" applyFont="1" applyBorder="1" applyAlignment="1" applyProtection="1">
      <alignment horizontal="left"/>
      <protection hidden="1"/>
    </xf>
    <xf numFmtId="0" fontId="6" fillId="0" borderId="0" xfId="0" applyFont="1" applyBorder="1" applyProtection="1">
      <protection hidden="1"/>
    </xf>
    <xf numFmtId="0" fontId="2" fillId="0" borderId="0" xfId="0" quotePrefix="1" applyFont="1" applyProtection="1">
      <protection hidden="1"/>
    </xf>
    <xf numFmtId="0" fontId="2" fillId="0" borderId="0" xfId="0" applyFont="1" applyBorder="1" applyAlignment="1" applyProtection="1">
      <alignment horizontal="right"/>
      <protection hidden="1"/>
    </xf>
    <xf numFmtId="177" fontId="2" fillId="0" borderId="0" xfId="0" applyNumberFormat="1" applyFont="1" applyFill="1" applyAlignment="1" applyProtection="1">
      <alignment horizontal="right"/>
      <protection hidden="1"/>
    </xf>
    <xf numFmtId="0" fontId="2" fillId="0" borderId="0" xfId="0" applyFont="1" applyAlignment="1" applyProtection="1">
      <alignment horizontal="left"/>
      <protection hidden="1"/>
    </xf>
    <xf numFmtId="177" fontId="2" fillId="0" borderId="0" xfId="0" applyNumberFormat="1" applyFont="1" applyAlignment="1" applyProtection="1">
      <alignment horizontal="right"/>
      <protection hidden="1"/>
    </xf>
    <xf numFmtId="49" fontId="2" fillId="0" borderId="0" xfId="0" applyNumberFormat="1" applyFont="1" applyProtection="1">
      <protection hidden="1"/>
    </xf>
    <xf numFmtId="178" fontId="2" fillId="0" borderId="0" xfId="0" applyNumberFormat="1" applyFont="1" applyBorder="1" applyProtection="1">
      <protection hidden="1"/>
    </xf>
    <xf numFmtId="0" fontId="2" fillId="6" borderId="0" xfId="0" applyFont="1" applyFill="1" applyAlignment="1" applyProtection="1">
      <alignment horizontal="left"/>
      <protection hidden="1"/>
    </xf>
    <xf numFmtId="1" fontId="2" fillId="0" borderId="0" xfId="0" applyNumberFormat="1" applyFont="1" applyAlignment="1" applyProtection="1">
      <alignment horizontal="center"/>
      <protection hidden="1"/>
    </xf>
    <xf numFmtId="0" fontId="2" fillId="4" borderId="0" xfId="0" applyFont="1" applyFill="1" applyProtection="1">
      <protection hidden="1"/>
    </xf>
    <xf numFmtId="0" fontId="2" fillId="8" borderId="0" xfId="0" applyFont="1" applyFill="1" applyProtection="1">
      <protection hidden="1"/>
    </xf>
    <xf numFmtId="0" fontId="6" fillId="8" borderId="0" xfId="0" applyFont="1" applyFill="1" applyProtection="1">
      <protection hidden="1"/>
    </xf>
    <xf numFmtId="177" fontId="2" fillId="0" borderId="0" xfId="0" applyNumberFormat="1" applyFont="1" applyBorder="1" applyProtection="1">
      <protection hidden="1"/>
    </xf>
    <xf numFmtId="0" fontId="2" fillId="6" borderId="0" xfId="0" applyFont="1" applyFill="1" applyProtection="1">
      <protection hidden="1"/>
    </xf>
    <xf numFmtId="177" fontId="2" fillId="6" borderId="0" xfId="0" applyNumberFormat="1" applyFont="1" applyFill="1" applyProtection="1">
      <protection hidden="1"/>
    </xf>
    <xf numFmtId="0" fontId="2" fillId="6" borderId="0" xfId="0" applyFont="1" applyFill="1" applyAlignment="1" applyProtection="1">
      <alignment horizontal="right"/>
      <protection hidden="1"/>
    </xf>
    <xf numFmtId="1" fontId="2" fillId="0" borderId="0" xfId="0" applyNumberFormat="1" applyFont="1" applyAlignment="1">
      <alignment horizontal="right"/>
    </xf>
    <xf numFmtId="0" fontId="2" fillId="6" borderId="0" xfId="0" applyNumberFormat="1" applyFont="1" applyFill="1"/>
    <xf numFmtId="0" fontId="6" fillId="6" borderId="0" xfId="0" applyFont="1" applyFill="1" applyProtection="1">
      <protection hidden="1"/>
    </xf>
    <xf numFmtId="0" fontId="4" fillId="3" borderId="9" xfId="10" applyFont="1" applyFill="1" applyBorder="1" applyAlignment="1" applyProtection="1">
      <alignment horizontal="left"/>
      <protection locked="0"/>
    </xf>
    <xf numFmtId="3" fontId="2" fillId="2" borderId="0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6" fillId="0" borderId="0" xfId="0" applyFont="1" applyBorder="1" applyAlignment="1" applyProtection="1">
      <alignment horizontal="right"/>
      <protection hidden="1"/>
    </xf>
    <xf numFmtId="177" fontId="2" fillId="0" borderId="0" xfId="0" applyNumberFormat="1" applyFont="1" applyBorder="1" applyAlignment="1" applyProtection="1">
      <alignment horizontal="right"/>
      <protection hidden="1"/>
    </xf>
    <xf numFmtId="1" fontId="2" fillId="0" borderId="0" xfId="8" applyNumberFormat="1" applyFont="1" applyBorder="1" applyProtection="1">
      <protection hidden="1"/>
    </xf>
    <xf numFmtId="1" fontId="6" fillId="0" borderId="0" xfId="0" applyNumberFormat="1" applyFont="1" applyProtection="1">
      <protection hidden="1"/>
    </xf>
    <xf numFmtId="178" fontId="2" fillId="0" borderId="0" xfId="0" applyNumberFormat="1" applyFont="1" applyFill="1" applyAlignment="1" applyProtection="1">
      <alignment horizontal="right"/>
      <protection hidden="1"/>
    </xf>
    <xf numFmtId="0" fontId="9" fillId="2" borderId="0" xfId="0" applyFont="1" applyFill="1" applyProtection="1">
      <protection hidden="1"/>
    </xf>
    <xf numFmtId="0" fontId="9" fillId="2" borderId="0" xfId="0" applyFont="1" applyFill="1" applyBorder="1" applyAlignment="1" applyProtection="1">
      <alignment horizontal="center"/>
      <protection hidden="1"/>
    </xf>
    <xf numFmtId="3" fontId="2" fillId="0" borderId="0" xfId="0" applyNumberFormat="1" applyFont="1" applyFill="1"/>
    <xf numFmtId="0" fontId="2" fillId="5" borderId="0" xfId="0" applyFont="1" applyFill="1" applyAlignment="1">
      <alignment horizontal="right"/>
    </xf>
    <xf numFmtId="0" fontId="2" fillId="5" borderId="0" xfId="0" applyFont="1" applyFill="1"/>
    <xf numFmtId="3" fontId="9" fillId="2" borderId="7" xfId="0" applyNumberFormat="1" applyFont="1" applyFill="1" applyBorder="1" applyAlignment="1" applyProtection="1">
      <alignment horizontal="center"/>
      <protection hidden="1"/>
    </xf>
    <xf numFmtId="0" fontId="9" fillId="2" borderId="2" xfId="0" applyFont="1" applyFill="1" applyBorder="1" applyAlignment="1" applyProtection="1">
      <alignment horizontal="center"/>
      <protection hidden="1"/>
    </xf>
    <xf numFmtId="0" fontId="9" fillId="2" borderId="7" xfId="0" applyFont="1" applyFill="1" applyBorder="1" applyAlignment="1" applyProtection="1">
      <alignment horizontal="center"/>
      <protection hidden="1"/>
    </xf>
    <xf numFmtId="0" fontId="2" fillId="7" borderId="9" xfId="0" applyFont="1" applyFill="1" applyBorder="1" applyAlignment="1" applyProtection="1">
      <alignment horizontal="center"/>
      <protection hidden="1"/>
    </xf>
    <xf numFmtId="0" fontId="10" fillId="6" borderId="37" xfId="0" applyFont="1" applyFill="1" applyBorder="1" applyProtection="1">
      <protection hidden="1"/>
    </xf>
    <xf numFmtId="0" fontId="2" fillId="6" borderId="39" xfId="0" applyFont="1" applyFill="1" applyBorder="1" applyProtection="1">
      <protection hidden="1"/>
    </xf>
    <xf numFmtId="0" fontId="6" fillId="0" borderId="0" xfId="0" applyFont="1" applyFill="1" applyProtection="1">
      <protection hidden="1"/>
    </xf>
    <xf numFmtId="0" fontId="6" fillId="0" borderId="0" xfId="0" applyFont="1" applyFill="1" applyAlignment="1" applyProtection="1">
      <alignment horizontal="right"/>
      <protection hidden="1"/>
    </xf>
    <xf numFmtId="0" fontId="6" fillId="0" borderId="0" xfId="0" applyFont="1" applyFill="1" applyAlignment="1" applyProtection="1">
      <alignment horizontal="left"/>
      <protection hidden="1"/>
    </xf>
    <xf numFmtId="177" fontId="2" fillId="0" borderId="2" xfId="0" applyNumberFormat="1" applyFont="1" applyFill="1" applyBorder="1" applyProtection="1">
      <protection hidden="1"/>
    </xf>
    <xf numFmtId="3" fontId="2" fillId="0" borderId="0" xfId="0" applyNumberFormat="1" applyFont="1" applyFill="1" applyProtection="1">
      <protection hidden="1"/>
    </xf>
    <xf numFmtId="178" fontId="2" fillId="0" borderId="0" xfId="0" applyNumberFormat="1" applyFont="1" applyFill="1" applyProtection="1">
      <protection hidden="1"/>
    </xf>
    <xf numFmtId="178" fontId="2" fillId="0" borderId="2" xfId="0" applyNumberFormat="1" applyFont="1" applyFill="1" applyBorder="1" applyProtection="1">
      <protection hidden="1"/>
    </xf>
    <xf numFmtId="2" fontId="2" fillId="0" borderId="0" xfId="0" applyNumberFormat="1" applyFont="1" applyFill="1" applyProtection="1">
      <protection hidden="1"/>
    </xf>
    <xf numFmtId="0" fontId="2" fillId="0" borderId="0" xfId="0" applyFont="1" applyFill="1" applyBorder="1" applyProtection="1">
      <protection hidden="1"/>
    </xf>
    <xf numFmtId="0" fontId="2" fillId="0" borderId="0" xfId="0" applyFont="1" applyFill="1" applyBorder="1" applyAlignment="1" applyProtection="1">
      <alignment horizontal="right"/>
      <protection hidden="1"/>
    </xf>
    <xf numFmtId="0" fontId="6" fillId="0" borderId="0" xfId="0" applyFont="1" applyFill="1" applyBorder="1" applyProtection="1">
      <protection hidden="1"/>
    </xf>
    <xf numFmtId="177" fontId="2" fillId="0" borderId="0" xfId="0" applyNumberFormat="1" applyFont="1" applyFill="1" applyBorder="1" applyProtection="1">
      <protection hidden="1"/>
    </xf>
    <xf numFmtId="177" fontId="2" fillId="0" borderId="0" xfId="0" applyNumberFormat="1" applyFont="1" applyFill="1" applyBorder="1" applyAlignment="1" applyProtection="1">
      <alignment horizontal="right"/>
      <protection hidden="1"/>
    </xf>
    <xf numFmtId="1" fontId="2" fillId="0" borderId="0" xfId="8" applyNumberFormat="1" applyFont="1" applyFill="1" applyBorder="1" applyProtection="1">
      <protection hidden="1"/>
    </xf>
    <xf numFmtId="178" fontId="2" fillId="0" borderId="0" xfId="0" applyNumberFormat="1" applyFont="1" applyFill="1" applyBorder="1" applyProtection="1">
      <protection hidden="1"/>
    </xf>
    <xf numFmtId="0" fontId="2" fillId="2" borderId="0" xfId="3" applyFont="1" applyFill="1" applyProtection="1">
      <protection hidden="1"/>
    </xf>
    <xf numFmtId="0" fontId="2" fillId="2" borderId="0" xfId="3" applyFont="1" applyFill="1" applyAlignment="1" applyProtection="1">
      <alignment horizontal="left"/>
      <protection hidden="1"/>
    </xf>
    <xf numFmtId="0" fontId="2" fillId="2" borderId="0" xfId="3" applyFont="1" applyFill="1" applyAlignment="1" applyProtection="1">
      <alignment horizontal="center"/>
      <protection hidden="1"/>
    </xf>
    <xf numFmtId="0" fontId="2" fillId="0" borderId="0" xfId="3" applyFont="1" applyProtection="1">
      <protection hidden="1"/>
    </xf>
    <xf numFmtId="0" fontId="4" fillId="3" borderId="9" xfId="3" applyFont="1" applyFill="1" applyBorder="1" applyAlignment="1" applyProtection="1">
      <alignment horizontal="center"/>
      <protection locked="0"/>
    </xf>
    <xf numFmtId="0" fontId="2" fillId="2" borderId="31" xfId="3" applyFont="1" applyFill="1" applyBorder="1" applyProtection="1">
      <protection hidden="1"/>
    </xf>
    <xf numFmtId="0" fontId="2" fillId="2" borderId="2" xfId="3" applyFont="1" applyFill="1" applyBorder="1" applyAlignment="1" applyProtection="1">
      <alignment horizontal="left"/>
      <protection hidden="1"/>
    </xf>
    <xf numFmtId="0" fontId="2" fillId="2" borderId="2" xfId="3" applyFont="1" applyFill="1" applyBorder="1" applyAlignment="1" applyProtection="1">
      <alignment horizontal="center"/>
      <protection hidden="1"/>
    </xf>
    <xf numFmtId="0" fontId="4" fillId="3" borderId="2" xfId="3" applyFont="1" applyFill="1" applyBorder="1" applyAlignment="1" applyProtection="1">
      <alignment horizontal="left"/>
      <protection locked="0"/>
    </xf>
    <xf numFmtId="0" fontId="2" fillId="2" borderId="3" xfId="3" applyFont="1" applyFill="1" applyBorder="1" applyAlignment="1" applyProtection="1">
      <alignment horizontal="center"/>
      <protection hidden="1"/>
    </xf>
    <xf numFmtId="3" fontId="2" fillId="0" borderId="0" xfId="3" applyNumberFormat="1" applyFont="1" applyProtection="1">
      <protection hidden="1"/>
    </xf>
    <xf numFmtId="0" fontId="2" fillId="2" borderId="0" xfId="3" applyFont="1" applyFill="1" applyBorder="1" applyAlignment="1" applyProtection="1">
      <alignment horizontal="center"/>
      <protection hidden="1"/>
    </xf>
    <xf numFmtId="0" fontId="11" fillId="2" borderId="32" xfId="3" applyFont="1" applyFill="1" applyBorder="1" applyAlignment="1" applyProtection="1">
      <alignment horizontal="left"/>
      <protection hidden="1"/>
    </xf>
    <xf numFmtId="0" fontId="2" fillId="2" borderId="0" xfId="3" applyFont="1" applyFill="1" applyBorder="1" applyAlignment="1" applyProtection="1">
      <alignment horizontal="left"/>
      <protection hidden="1"/>
    </xf>
    <xf numFmtId="0" fontId="2" fillId="2" borderId="5" xfId="3" applyFont="1" applyFill="1" applyBorder="1" applyAlignment="1" applyProtection="1">
      <alignment horizontal="center"/>
      <protection hidden="1"/>
    </xf>
    <xf numFmtId="0" fontId="2" fillId="0" borderId="0" xfId="3" applyFont="1" applyBorder="1" applyAlignment="1" applyProtection="1">
      <alignment horizontal="center"/>
      <protection hidden="1"/>
    </xf>
    <xf numFmtId="3" fontId="2" fillId="0" borderId="0" xfId="3" applyNumberFormat="1" applyFont="1" applyBorder="1" applyAlignment="1" applyProtection="1">
      <alignment horizontal="center"/>
      <protection hidden="1"/>
    </xf>
    <xf numFmtId="0" fontId="2" fillId="2" borderId="9" xfId="3" applyFont="1" applyFill="1" applyBorder="1" applyAlignment="1" applyProtection="1">
      <alignment horizontal="center"/>
      <protection hidden="1"/>
    </xf>
    <xf numFmtId="0" fontId="2" fillId="2" borderId="38" xfId="3" applyFont="1" applyFill="1" applyBorder="1" applyAlignment="1" applyProtection="1">
      <alignment horizontal="left"/>
      <protection hidden="1"/>
    </xf>
    <xf numFmtId="3" fontId="2" fillId="2" borderId="9" xfId="3" applyNumberFormat="1" applyFont="1" applyFill="1" applyBorder="1" applyAlignment="1" applyProtection="1">
      <alignment horizontal="center"/>
      <protection hidden="1"/>
    </xf>
    <xf numFmtId="0" fontId="2" fillId="2" borderId="9" xfId="3" applyFont="1" applyFill="1" applyBorder="1" applyAlignment="1" applyProtection="1">
      <alignment horizontal="left"/>
      <protection hidden="1"/>
    </xf>
    <xf numFmtId="0" fontId="2" fillId="2" borderId="39" xfId="3" applyFont="1" applyFill="1" applyBorder="1" applyAlignment="1" applyProtection="1">
      <alignment horizontal="center"/>
      <protection hidden="1"/>
    </xf>
    <xf numFmtId="1" fontId="2" fillId="2" borderId="9" xfId="3" applyNumberFormat="1" applyFont="1" applyFill="1" applyBorder="1" applyAlignment="1" applyProtection="1">
      <alignment horizontal="center"/>
      <protection hidden="1"/>
    </xf>
    <xf numFmtId="0" fontId="4" fillId="3" borderId="38" xfId="3" applyFont="1" applyFill="1" applyBorder="1" applyAlignment="1" applyProtection="1">
      <alignment horizontal="left"/>
      <protection locked="0"/>
    </xf>
    <xf numFmtId="0" fontId="2" fillId="0" borderId="0" xfId="3" applyFont="1" applyAlignment="1" applyProtection="1">
      <alignment horizontal="left"/>
      <protection hidden="1"/>
    </xf>
    <xf numFmtId="0" fontId="2" fillId="0" borderId="0" xfId="3" applyFont="1" applyAlignment="1" applyProtection="1">
      <alignment horizontal="center"/>
      <protection hidden="1"/>
    </xf>
    <xf numFmtId="0" fontId="2" fillId="0" borderId="0" xfId="3" applyFont="1" applyFill="1" applyProtection="1">
      <protection hidden="1"/>
    </xf>
    <xf numFmtId="0" fontId="2" fillId="0" borderId="0" xfId="3" applyFont="1" applyFill="1" applyAlignment="1" applyProtection="1">
      <alignment horizontal="left"/>
      <protection hidden="1"/>
    </xf>
    <xf numFmtId="0" fontId="2" fillId="0" borderId="0" xfId="3" applyFont="1" applyFill="1" applyAlignment="1" applyProtection="1">
      <alignment horizontal="center"/>
      <protection hidden="1"/>
    </xf>
    <xf numFmtId="0" fontId="2" fillId="0" borderId="31" xfId="3" applyFont="1" applyFill="1" applyBorder="1" applyProtection="1">
      <protection hidden="1"/>
    </xf>
    <xf numFmtId="0" fontId="2" fillId="0" borderId="2" xfId="3" applyFont="1" applyFill="1" applyBorder="1" applyAlignment="1" applyProtection="1">
      <alignment horizontal="left"/>
      <protection hidden="1"/>
    </xf>
    <xf numFmtId="0" fontId="2" fillId="0" borderId="2" xfId="3" applyFont="1" applyFill="1" applyBorder="1" applyAlignment="1" applyProtection="1">
      <alignment horizontal="center"/>
      <protection hidden="1"/>
    </xf>
    <xf numFmtId="0" fontId="2" fillId="0" borderId="3" xfId="3" applyFont="1" applyFill="1" applyBorder="1" applyAlignment="1" applyProtection="1">
      <alignment horizontal="center"/>
      <protection hidden="1"/>
    </xf>
    <xf numFmtId="3" fontId="2" fillId="0" borderId="0" xfId="3" applyNumberFormat="1" applyFont="1" applyFill="1" applyProtection="1">
      <protection hidden="1"/>
    </xf>
    <xf numFmtId="0" fontId="2" fillId="0" borderId="0" xfId="3" applyFont="1" applyFill="1" applyBorder="1" applyAlignment="1" applyProtection="1">
      <alignment horizontal="center"/>
      <protection hidden="1"/>
    </xf>
    <xf numFmtId="0" fontId="11" fillId="0" borderId="32" xfId="3" applyFont="1" applyFill="1" applyBorder="1" applyAlignment="1" applyProtection="1">
      <alignment horizontal="left"/>
      <protection hidden="1"/>
    </xf>
    <xf numFmtId="0" fontId="2" fillId="0" borderId="0" xfId="3" applyFont="1" applyFill="1" applyBorder="1" applyAlignment="1" applyProtection="1">
      <alignment horizontal="left"/>
      <protection hidden="1"/>
    </xf>
    <xf numFmtId="0" fontId="2" fillId="0" borderId="5" xfId="3" applyFont="1" applyFill="1" applyBorder="1" applyAlignment="1" applyProtection="1">
      <alignment horizontal="center"/>
      <protection hidden="1"/>
    </xf>
    <xf numFmtId="3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9" xfId="3" applyFont="1" applyFill="1" applyBorder="1" applyAlignment="1" applyProtection="1">
      <alignment horizontal="center"/>
      <protection hidden="1"/>
    </xf>
    <xf numFmtId="0" fontId="2" fillId="0" borderId="38" xfId="3" applyFont="1" applyFill="1" applyBorder="1" applyAlignment="1" applyProtection="1">
      <alignment horizontal="left"/>
      <protection hidden="1"/>
    </xf>
    <xf numFmtId="3" fontId="2" fillId="0" borderId="9" xfId="3" applyNumberFormat="1" applyFont="1" applyFill="1" applyBorder="1" applyAlignment="1" applyProtection="1">
      <alignment horizontal="center"/>
      <protection hidden="1"/>
    </xf>
    <xf numFmtId="0" fontId="2" fillId="0" borderId="9" xfId="3" applyFont="1" applyFill="1" applyBorder="1" applyAlignment="1" applyProtection="1">
      <alignment horizontal="left"/>
      <protection hidden="1"/>
    </xf>
    <xf numFmtId="0" fontId="2" fillId="0" borderId="39" xfId="3" applyFont="1" applyFill="1" applyBorder="1" applyAlignment="1" applyProtection="1">
      <alignment horizontal="center"/>
      <protection hidden="1"/>
    </xf>
    <xf numFmtId="1" fontId="2" fillId="0" borderId="9" xfId="3" applyNumberFormat="1" applyFont="1" applyFill="1" applyBorder="1" applyAlignment="1" applyProtection="1">
      <alignment horizontal="center"/>
      <protection hidden="1"/>
    </xf>
    <xf numFmtId="0" fontId="2" fillId="0" borderId="0" xfId="0" applyFont="1" applyFill="1" applyAlignment="1" applyProtection="1">
      <alignment horizontal="center"/>
      <protection hidden="1"/>
    </xf>
    <xf numFmtId="0" fontId="6" fillId="2" borderId="0" xfId="0" applyNumberFormat="1" applyFont="1" applyFill="1" applyProtection="1">
      <protection hidden="1"/>
    </xf>
    <xf numFmtId="0" fontId="2" fillId="9" borderId="6" xfId="0" applyFont="1" applyFill="1" applyBorder="1"/>
    <xf numFmtId="0" fontId="2" fillId="9" borderId="3" xfId="0" applyFont="1" applyFill="1" applyBorder="1"/>
    <xf numFmtId="0" fontId="2" fillId="9" borderId="2" xfId="0" applyFont="1" applyFill="1" applyBorder="1" applyProtection="1">
      <protection hidden="1"/>
    </xf>
    <xf numFmtId="0" fontId="2" fillId="9" borderId="2" xfId="0" applyFont="1" applyFill="1" applyBorder="1"/>
    <xf numFmtId="0" fontId="2" fillId="9" borderId="2" xfId="0" applyFont="1" applyFill="1" applyBorder="1" applyAlignment="1" applyProtection="1">
      <alignment horizontal="center"/>
      <protection hidden="1"/>
    </xf>
    <xf numFmtId="0" fontId="2" fillId="9" borderId="7" xfId="0" applyFont="1" applyFill="1" applyBorder="1" applyProtection="1">
      <protection hidden="1"/>
    </xf>
    <xf numFmtId="0" fontId="2" fillId="9" borderId="8" xfId="0" applyFont="1" applyFill="1" applyBorder="1"/>
    <xf numFmtId="0" fontId="2" fillId="9" borderId="31" xfId="10" applyFont="1" applyFill="1" applyBorder="1" applyAlignment="1" applyProtection="1">
      <alignment horizontal="left"/>
      <protection hidden="1"/>
    </xf>
    <xf numFmtId="0" fontId="2" fillId="9" borderId="36" xfId="10" applyFont="1" applyFill="1" applyBorder="1" applyAlignment="1" applyProtection="1">
      <alignment horizontal="left"/>
      <protection hidden="1"/>
    </xf>
    <xf numFmtId="49" fontId="2" fillId="2" borderId="0" xfId="0" applyNumberFormat="1" applyFont="1" applyFill="1" applyBorder="1" applyAlignment="1" applyProtection="1">
      <alignment horizontal="center"/>
      <protection hidden="1"/>
    </xf>
    <xf numFmtId="49" fontId="2" fillId="2" borderId="0" xfId="0" applyNumberFormat="1" applyFont="1" applyFill="1" applyAlignment="1" applyProtection="1">
      <alignment horizontal="center"/>
      <protection hidden="1"/>
    </xf>
    <xf numFmtId="0" fontId="2" fillId="9" borderId="32" xfId="0" applyFont="1" applyFill="1" applyBorder="1" applyProtection="1">
      <protection hidden="1"/>
    </xf>
    <xf numFmtId="0" fontId="2" fillId="9" borderId="0" xfId="0" applyFont="1" applyFill="1" applyBorder="1" applyProtection="1">
      <protection hidden="1"/>
    </xf>
    <xf numFmtId="0" fontId="2" fillId="9" borderId="0" xfId="0" applyFont="1" applyFill="1" applyBorder="1"/>
    <xf numFmtId="0" fontId="2" fillId="9" borderId="5" xfId="0" applyFont="1" applyFill="1" applyBorder="1"/>
    <xf numFmtId="0" fontId="2" fillId="9" borderId="36" xfId="0" applyFont="1" applyFill="1" applyBorder="1" applyProtection="1">
      <protection hidden="1"/>
    </xf>
    <xf numFmtId="0" fontId="2" fillId="9" borderId="7" xfId="0" applyFont="1" applyFill="1" applyBorder="1"/>
    <xf numFmtId="0" fontId="2" fillId="9" borderId="32" xfId="10" applyFont="1" applyFill="1" applyBorder="1" applyAlignment="1" applyProtection="1">
      <alignment horizontal="left"/>
      <protection hidden="1"/>
    </xf>
    <xf numFmtId="0" fontId="2" fillId="9" borderId="0" xfId="0" applyFont="1" applyFill="1" applyBorder="1" applyAlignment="1" applyProtection="1">
      <alignment horizontal="center"/>
      <protection hidden="1"/>
    </xf>
    <xf numFmtId="0" fontId="2" fillId="9" borderId="2" xfId="10" applyFont="1" applyFill="1" applyBorder="1" applyAlignment="1" applyProtection="1">
      <alignment horizontal="left"/>
      <protection hidden="1"/>
    </xf>
    <xf numFmtId="0" fontId="2" fillId="9" borderId="0" xfId="10" applyFont="1" applyFill="1" applyBorder="1" applyAlignment="1" applyProtection="1">
      <alignment horizontal="left"/>
      <protection hidden="1"/>
    </xf>
    <xf numFmtId="0" fontId="2" fillId="9" borderId="7" xfId="10" applyFont="1" applyFill="1" applyBorder="1" applyAlignment="1" applyProtection="1">
      <alignment horizontal="left"/>
      <protection hidden="1"/>
    </xf>
    <xf numFmtId="0" fontId="4" fillId="9" borderId="36" xfId="10" applyFont="1" applyFill="1" applyBorder="1" applyAlignment="1" applyProtection="1">
      <alignment horizontal="left"/>
      <protection hidden="1"/>
    </xf>
    <xf numFmtId="0" fontId="2" fillId="9" borderId="7" xfId="0" applyNumberFormat="1" applyFont="1" applyFill="1" applyBorder="1" applyAlignment="1" applyProtection="1">
      <alignment horizontal="center"/>
      <protection hidden="1"/>
    </xf>
    <xf numFmtId="0" fontId="2" fillId="9" borderId="0" xfId="0" applyNumberFormat="1" applyFont="1" applyFill="1" applyBorder="1" applyAlignment="1" applyProtection="1">
      <alignment horizontal="center"/>
      <protection hidden="1"/>
    </xf>
    <xf numFmtId="170" fontId="2" fillId="0" borderId="0" xfId="4" applyNumberFormat="1" applyFont="1"/>
    <xf numFmtId="3" fontId="4" fillId="9" borderId="9" xfId="0" applyNumberFormat="1" applyFont="1" applyFill="1" applyBorder="1" applyAlignment="1" applyProtection="1">
      <alignment horizontal="center"/>
      <protection hidden="1"/>
    </xf>
    <xf numFmtId="0" fontId="4" fillId="9" borderId="9" xfId="0" applyNumberFormat="1" applyFont="1" applyFill="1" applyBorder="1" applyAlignment="1" applyProtection="1">
      <alignment horizontal="center"/>
      <protection hidden="1"/>
    </xf>
    <xf numFmtId="0" fontId="4" fillId="9" borderId="9" xfId="10" applyFont="1" applyFill="1" applyBorder="1" applyAlignment="1" applyProtection="1">
      <alignment horizontal="left"/>
      <protection hidden="1"/>
    </xf>
    <xf numFmtId="0" fontId="4" fillId="9" borderId="9" xfId="0" applyFont="1" applyFill="1" applyBorder="1" applyAlignment="1" applyProtection="1">
      <alignment horizontal="left"/>
      <protection hidden="1"/>
    </xf>
    <xf numFmtId="0" fontId="4" fillId="9" borderId="38" xfId="3" applyFont="1" applyFill="1" applyBorder="1" applyAlignment="1" applyProtection="1">
      <alignment horizontal="left"/>
      <protection hidden="1"/>
    </xf>
    <xf numFmtId="0" fontId="12" fillId="0" borderId="1" xfId="0" applyFont="1" applyFill="1" applyBorder="1" applyAlignment="1" applyProtection="1">
      <alignment horizontal="center"/>
      <protection hidden="1"/>
    </xf>
    <xf numFmtId="0" fontId="12" fillId="0" borderId="4" xfId="0" applyFont="1" applyFill="1" applyBorder="1" applyAlignment="1" applyProtection="1">
      <alignment horizontal="center"/>
      <protection hidden="1"/>
    </xf>
    <xf numFmtId="0" fontId="12" fillId="0" borderId="6" xfId="0" applyFont="1" applyFill="1" applyBorder="1" applyAlignment="1" applyProtection="1">
      <alignment horizontal="center"/>
      <protection hidden="1"/>
    </xf>
  </cellXfs>
  <cellStyles count="11">
    <cellStyle name="Normal" xfId="0" builtinId="0"/>
    <cellStyle name="Normal_13" xfId="1"/>
    <cellStyle name="Normal_Book2" xfId="2"/>
    <cellStyle name="Normal_Book2_1" xfId="3"/>
    <cellStyle name="Normal_Book3" xfId="4"/>
    <cellStyle name="Normal_House Panel" xfId="5"/>
    <cellStyle name="Normal_JUNK" xfId="6"/>
    <cellStyle name="Normal_new" xfId="7"/>
    <cellStyle name="Normal_OSF208" xfId="8"/>
    <cellStyle name="Normal_Panel 2006" xfId="9"/>
    <cellStyle name="Normal_Sheet1" xfId="10"/>
  </cellStyles>
  <dxfs count="119">
    <dxf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10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10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10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10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border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10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ill>
        <patternFill>
          <bgColor indexed="22"/>
        </patternFill>
      </fill>
      <border>
        <left/>
        <right/>
        <top style="thin">
          <color indexed="64"/>
        </top>
        <bottom/>
      </border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 style="thin">
          <color indexed="64"/>
        </top>
        <bottom/>
      </border>
    </dxf>
    <dxf>
      <fill>
        <patternFill>
          <bgColor indexed="22"/>
        </patternFill>
      </fill>
      <border>
        <left/>
        <right/>
        <top style="thin">
          <color indexed="64"/>
        </top>
        <bottom/>
      </border>
    </dxf>
    <dxf>
      <fill>
        <patternFill>
          <bgColor indexed="22"/>
        </patternFill>
      </fill>
      <border>
        <left/>
        <right/>
        <top style="thin">
          <color indexed="64"/>
        </top>
        <bottom/>
      </border>
    </dxf>
    <dxf>
      <font>
        <condense val="0"/>
        <extend val="0"/>
        <color indexed="12"/>
      </font>
    </dxf>
    <dxf>
      <fill>
        <patternFill>
          <bgColor indexed="22"/>
        </patternFill>
      </fill>
      <border>
        <right/>
        <bottom/>
      </border>
    </dxf>
    <dxf>
      <fill>
        <patternFill>
          <bgColor indexed="22"/>
        </patternFill>
      </fill>
      <border>
        <left/>
        <right/>
        <bottom/>
      </border>
    </dxf>
    <dxf>
      <fill>
        <patternFill>
          <bgColor indexed="22"/>
        </patternFill>
      </fill>
      <border>
        <left/>
        <right/>
        <bottom/>
      </border>
    </dxf>
    <dxf>
      <font>
        <condense val="0"/>
        <extend val="0"/>
        <color indexed="12"/>
      </font>
    </dxf>
    <dxf>
      <font>
        <condense val="0"/>
        <extend val="0"/>
        <color indexed="22"/>
      </font>
      <fill>
        <patternFill>
          <bgColor indexed="22"/>
        </patternFill>
      </fill>
      <border>
        <right/>
        <top style="thin">
          <color indexed="64"/>
        </top>
      </border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top style="thin">
          <color indexed="64"/>
        </top>
      </border>
    </dxf>
    <dxf>
      <font>
        <condense val="0"/>
        <extend val="0"/>
        <color indexed="22"/>
      </font>
      <fill>
        <patternFill>
          <bgColor indexed="22"/>
        </patternFill>
      </fill>
      <border>
        <top style="thin">
          <color indexed="64"/>
        </top>
      </border>
    </dxf>
    <dxf>
      <fill>
        <patternFill>
          <bgColor indexed="10"/>
        </patternFill>
      </fill>
    </dxf>
    <dxf>
      <font>
        <condense val="0"/>
        <extend val="0"/>
        <color indexed="47"/>
      </font>
      <fill>
        <patternFill>
          <bgColor indexed="47"/>
        </patternFill>
      </fill>
      <border>
        <left/>
        <right/>
        <top/>
        <bottom style="thin">
          <color indexed="64"/>
        </bottom>
      </border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top/>
        <bottom/>
      </border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  <border>
        <left/>
        <right/>
        <bottom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IC517"/>
  <sheetViews>
    <sheetView showGridLines="0" showRowColHeaders="0" tabSelected="1" showOutlineSymbols="0" workbookViewId="0"/>
  </sheetViews>
  <sheetFormatPr defaultColWidth="0" defaultRowHeight="11.25" customHeight="1" zeroHeight="1"/>
  <cols>
    <col min="1" max="1" width="1.28515625" style="51" customWidth="1"/>
    <col min="2" max="3" width="2.7109375" style="51" customWidth="1"/>
    <col min="4" max="4" width="20.28515625" style="51" customWidth="1"/>
    <col min="5" max="6" width="10.7109375" style="51" customWidth="1"/>
    <col min="7" max="7" width="2.28515625" style="51" customWidth="1"/>
    <col min="8" max="8" width="22.7109375" style="51" customWidth="1"/>
    <col min="9" max="9" width="3.7109375" style="1" customWidth="1"/>
    <col min="10" max="10" width="19.42578125" style="51" customWidth="1"/>
    <col min="11" max="11" width="3.7109375" style="1" customWidth="1"/>
    <col min="12" max="12" width="20.28515625" style="51" customWidth="1"/>
    <col min="13" max="13" width="6.140625" style="51" customWidth="1"/>
    <col min="14" max="14" width="3.140625" style="51" customWidth="1"/>
    <col min="15" max="17" width="10.7109375" style="49" hidden="1" customWidth="1"/>
    <col min="18" max="18" width="10.7109375" style="50" hidden="1" customWidth="1"/>
    <col min="19" max="21" width="10.7109375" style="49" hidden="1" customWidth="1"/>
    <col min="22" max="237" width="10.7109375" style="51" hidden="1" customWidth="1"/>
    <col min="238" max="16384" width="0" style="51" hidden="1"/>
  </cols>
  <sheetData>
    <row r="1" spans="1:24" ht="11.25" customHeight="1">
      <c r="A1" s="48"/>
      <c r="B1" s="5" t="s">
        <v>635</v>
      </c>
      <c r="C1" s="48"/>
      <c r="D1" s="48"/>
      <c r="E1" s="48"/>
      <c r="F1" s="48"/>
      <c r="G1" s="48"/>
      <c r="H1" s="48"/>
      <c r="I1" s="293"/>
      <c r="J1" s="48"/>
      <c r="K1" s="293"/>
      <c r="L1" s="48"/>
      <c r="M1" s="48"/>
      <c r="N1" s="48"/>
      <c r="Q1" s="49" t="s">
        <v>72</v>
      </c>
      <c r="R1" s="1">
        <v>0</v>
      </c>
    </row>
    <row r="2" spans="1:24" ht="11.25" customHeight="1">
      <c r="A2" s="48"/>
      <c r="B2" s="48"/>
      <c r="C2" s="48"/>
      <c r="D2" s="48"/>
      <c r="E2" s="48"/>
      <c r="F2" s="48"/>
      <c r="G2" s="48"/>
      <c r="H2" s="48"/>
      <c r="I2" s="293"/>
      <c r="J2" s="48"/>
      <c r="K2" s="293"/>
      <c r="L2" s="48"/>
      <c r="M2" s="48"/>
      <c r="N2" s="48"/>
      <c r="Q2" s="49" t="s">
        <v>73</v>
      </c>
      <c r="R2" s="1"/>
    </row>
    <row r="3" spans="1:24" ht="11.25" customHeight="1">
      <c r="A3" s="48"/>
      <c r="B3" s="52" t="s">
        <v>12</v>
      </c>
      <c r="C3" s="48"/>
      <c r="D3" s="48"/>
      <c r="E3" s="48"/>
      <c r="F3" s="48"/>
      <c r="G3" s="48"/>
      <c r="H3" s="385" t="s">
        <v>517</v>
      </c>
      <c r="I3" s="293"/>
      <c r="J3" s="392" t="str">
        <f>Export!F21</f>
        <v>YES</v>
      </c>
      <c r="K3" s="293"/>
      <c r="L3" s="48"/>
      <c r="M3" s="48"/>
      <c r="N3" s="48"/>
      <c r="R3" s="1">
        <f>E7</f>
        <v>2008</v>
      </c>
      <c r="W3" s="51" t="s">
        <v>527</v>
      </c>
      <c r="X3" s="51" t="s">
        <v>136</v>
      </c>
    </row>
    <row r="4" spans="1:24" ht="11.25" customHeight="1">
      <c r="A4" s="48"/>
      <c r="B4" s="53"/>
      <c r="C4" s="53" t="s">
        <v>0</v>
      </c>
      <c r="D4" s="48"/>
      <c r="E4" s="59" t="s">
        <v>629</v>
      </c>
      <c r="F4" s="48"/>
      <c r="G4" s="48"/>
      <c r="H4" s="301" t="s">
        <v>70</v>
      </c>
      <c r="I4" s="293"/>
      <c r="J4" s="393">
        <f>Export!F17</f>
        <v>240</v>
      </c>
      <c r="K4" s="293"/>
      <c r="L4" s="48"/>
      <c r="M4" s="48"/>
      <c r="N4" s="48"/>
      <c r="P4" s="49" t="s">
        <v>70</v>
      </c>
      <c r="Q4" s="62">
        <f>J4</f>
        <v>240</v>
      </c>
      <c r="R4" s="1"/>
      <c r="W4" s="51" t="s">
        <v>396</v>
      </c>
      <c r="X4" s="51" t="s">
        <v>135</v>
      </c>
    </row>
    <row r="5" spans="1:24" ht="11.25" customHeight="1">
      <c r="A5" s="48"/>
      <c r="B5" s="48"/>
      <c r="C5" s="48"/>
      <c r="D5" s="48"/>
      <c r="E5" s="59"/>
      <c r="F5" s="48"/>
      <c r="G5" s="48"/>
      <c r="H5" s="301" t="s">
        <v>71</v>
      </c>
      <c r="I5" s="293"/>
      <c r="J5" s="393">
        <f>Export!F18</f>
        <v>120</v>
      </c>
      <c r="K5" s="293"/>
      <c r="L5" s="48"/>
      <c r="M5" s="48"/>
      <c r="N5" s="48"/>
      <c r="P5" s="49" t="s">
        <v>71</v>
      </c>
      <c r="Q5" s="62">
        <f>J5</f>
        <v>120</v>
      </c>
      <c r="R5" s="1"/>
      <c r="W5" s="51" t="s">
        <v>398</v>
      </c>
      <c r="X5" s="51" t="s">
        <v>137</v>
      </c>
    </row>
    <row r="6" spans="1:24" ht="24" customHeight="1">
      <c r="A6" s="48"/>
      <c r="B6" s="48"/>
      <c r="C6" s="48"/>
      <c r="D6" s="394" t="s">
        <v>582</v>
      </c>
      <c r="E6" s="395"/>
      <c r="F6" s="48"/>
      <c r="G6" s="48"/>
      <c r="H6" s="385" t="s">
        <v>518</v>
      </c>
      <c r="I6" s="293"/>
      <c r="J6" s="391" t="str">
        <f>Export!G22</f>
        <v>YES</v>
      </c>
      <c r="K6" s="293"/>
      <c r="L6" s="48"/>
      <c r="M6" s="48"/>
      <c r="N6" s="48"/>
      <c r="P6" s="49" t="s">
        <v>77</v>
      </c>
      <c r="Q6" s="62">
        <f>J9</f>
        <v>1</v>
      </c>
      <c r="R6" s="1">
        <f>Export!F19</f>
        <v>1</v>
      </c>
      <c r="W6" s="51" t="s">
        <v>399</v>
      </c>
      <c r="X6" s="51" t="s">
        <v>528</v>
      </c>
    </row>
    <row r="7" spans="1:24" ht="11.25" customHeight="1">
      <c r="A7" s="48"/>
      <c r="B7" s="48"/>
      <c r="C7" s="385" t="s">
        <v>544</v>
      </c>
      <c r="D7" s="48"/>
      <c r="E7" s="386">
        <f>Export!F23</f>
        <v>2008</v>
      </c>
      <c r="F7" s="48"/>
      <c r="G7" s="48"/>
      <c r="H7" s="385" t="s">
        <v>524</v>
      </c>
      <c r="I7" s="293"/>
      <c r="J7" s="390">
        <f>Export!F20</f>
        <v>15818</v>
      </c>
      <c r="K7" s="293"/>
      <c r="L7" s="48"/>
      <c r="M7" s="48"/>
      <c r="N7" s="48"/>
      <c r="O7" s="49">
        <f>IF(ISBLANK(E7)=TRUE,1,IF(OR(E7=2002,E7=2005,E7=2008),0,1))</f>
        <v>0</v>
      </c>
      <c r="R7" s="1"/>
      <c r="W7" s="51" t="s">
        <v>400</v>
      </c>
    </row>
    <row r="8" spans="1:24" ht="11.25" customHeight="1">
      <c r="A8" s="48"/>
      <c r="B8" s="48"/>
      <c r="C8" s="385" t="s">
        <v>550</v>
      </c>
      <c r="D8" s="48"/>
      <c r="E8" s="386" t="s">
        <v>551</v>
      </c>
      <c r="F8" s="48"/>
      <c r="G8" s="48"/>
      <c r="H8" s="301" t="s">
        <v>382</v>
      </c>
      <c r="I8" s="293"/>
      <c r="J8" s="295" t="s">
        <v>573</v>
      </c>
      <c r="K8" s="293"/>
      <c r="L8" s="48" t="str">
        <f>IF(O8&gt;0,"&lt;&lt; ENTER NAME"," ")</f>
        <v xml:space="preserve"> </v>
      </c>
      <c r="M8" s="48"/>
      <c r="N8" s="48"/>
      <c r="O8" s="49">
        <f>IF(ISBLANK(J8)=TRUE,1,0)</f>
        <v>0</v>
      </c>
      <c r="P8" s="49" t="s">
        <v>66</v>
      </c>
      <c r="Q8" s="239" t="str">
        <f>IF(ISBLANK(J8)=TRUE," ",J8)</f>
        <v>SP1</v>
      </c>
      <c r="R8" s="1"/>
      <c r="W8" s="51" t="s">
        <v>401</v>
      </c>
    </row>
    <row r="9" spans="1:24" ht="11.25" customHeight="1">
      <c r="A9" s="48"/>
      <c r="B9" s="48"/>
      <c r="C9" s="48"/>
      <c r="D9" s="48"/>
      <c r="E9" s="294"/>
      <c r="F9" s="48"/>
      <c r="G9" s="48"/>
      <c r="H9" s="301" t="s">
        <v>77</v>
      </c>
      <c r="I9" s="293"/>
      <c r="J9" s="296">
        <v>1</v>
      </c>
      <c r="K9" s="293"/>
      <c r="L9" s="48" t="str">
        <f>IF(AND(Q6="3Y",R6=1)," &lt; &lt; SOURCE IS 1-PHASE",IF(O9=1,"&lt;&lt; SELECT PHASE"," "))</f>
        <v xml:space="preserve"> </v>
      </c>
      <c r="M9" s="48"/>
      <c r="N9" s="48"/>
      <c r="O9" s="63">
        <f>IF(ISBLANK(J9)=TRUE,1,IF(AND(Q6="3Y",R6=1),1,0))</f>
        <v>0</v>
      </c>
      <c r="R9" s="1"/>
      <c r="W9" s="51" t="s">
        <v>402</v>
      </c>
    </row>
    <row r="10" spans="1:24" ht="11.25" customHeight="1">
      <c r="A10" s="48"/>
      <c r="B10" s="2"/>
      <c r="C10" s="293"/>
      <c r="D10" s="293"/>
      <c r="E10" s="293"/>
      <c r="F10" s="293"/>
      <c r="G10" s="48"/>
      <c r="H10" s="301" t="s">
        <v>519</v>
      </c>
      <c r="I10" s="293"/>
      <c r="J10" s="44">
        <v>600</v>
      </c>
      <c r="K10" s="293"/>
      <c r="L10" s="48" t="str">
        <f>IF(O10&gt;0,"&lt;&lt; ENTER SQ FT"," ")</f>
        <v xml:space="preserve"> </v>
      </c>
      <c r="M10" s="48"/>
      <c r="N10" s="48"/>
      <c r="O10" s="49">
        <f>IF(ISBLANK(J10)=TRUE,1,0)</f>
        <v>0</v>
      </c>
      <c r="R10" s="1"/>
      <c r="W10" s="51" t="s">
        <v>403</v>
      </c>
    </row>
    <row r="11" spans="1:24" ht="11.25" customHeight="1">
      <c r="A11" s="48"/>
      <c r="B11" s="2"/>
      <c r="C11" s="293"/>
      <c r="D11" s="293"/>
      <c r="E11" s="293"/>
      <c r="F11" s="293"/>
      <c r="G11" s="48"/>
      <c r="H11" s="301" t="s">
        <v>520</v>
      </c>
      <c r="I11" s="293"/>
      <c r="J11" s="44">
        <v>0</v>
      </c>
      <c r="K11" s="293"/>
      <c r="L11" s="48" t="str">
        <f>IF(O11&gt;0,"&lt;&lt; ENTER NUMBER"," ")</f>
        <v xml:space="preserve"> </v>
      </c>
      <c r="M11" s="48"/>
      <c r="N11" s="48"/>
      <c r="O11" s="49">
        <f>IF(ISBLANK(J11)=TRUE,1,0)</f>
        <v>0</v>
      </c>
      <c r="R11" s="1"/>
      <c r="W11" s="51" t="s">
        <v>405</v>
      </c>
    </row>
    <row r="12" spans="1:24" ht="11.25" customHeight="1">
      <c r="A12" s="48"/>
      <c r="B12" s="2"/>
      <c r="C12" s="293"/>
      <c r="D12" s="293"/>
      <c r="E12" s="293"/>
      <c r="F12" s="293"/>
      <c r="G12" s="48"/>
      <c r="H12" s="301" t="s">
        <v>521</v>
      </c>
      <c r="I12" s="293"/>
      <c r="J12" s="44">
        <v>1</v>
      </c>
      <c r="K12" s="293"/>
      <c r="L12" s="48" t="str">
        <f>IF(O12&gt;0,"&lt;&lt; ENTER NUMBER"," ")</f>
        <v xml:space="preserve"> </v>
      </c>
      <c r="M12" s="48"/>
      <c r="N12" s="48"/>
      <c r="O12" s="49">
        <f>IF(ISBLANK(J12)=TRUE,1,0)</f>
        <v>0</v>
      </c>
    </row>
    <row r="13" spans="1:24" ht="11.25" customHeight="1">
      <c r="A13" s="48"/>
      <c r="B13" s="2"/>
      <c r="C13" s="293"/>
      <c r="D13" s="293"/>
      <c r="E13" s="293"/>
      <c r="F13" s="293"/>
      <c r="G13" s="48"/>
      <c r="H13" s="48"/>
      <c r="I13" s="293"/>
      <c r="J13" s="2"/>
      <c r="K13" s="293"/>
      <c r="L13" s="48"/>
      <c r="M13" s="48"/>
      <c r="N13" s="48"/>
    </row>
    <row r="14" spans="1:24" ht="11.25" customHeight="1">
      <c r="A14" s="48"/>
      <c r="B14" s="2"/>
      <c r="C14" s="293"/>
      <c r="D14" s="293"/>
      <c r="E14" s="293"/>
      <c r="F14" s="293"/>
      <c r="G14" s="48"/>
      <c r="H14" s="52"/>
      <c r="I14" s="293"/>
      <c r="J14" s="186" t="s">
        <v>283</v>
      </c>
      <c r="K14" s="293"/>
      <c r="L14" s="52"/>
      <c r="M14" s="48"/>
      <c r="N14" s="48"/>
    </row>
    <row r="15" spans="1:24" ht="11.25" customHeight="1">
      <c r="A15" s="48"/>
      <c r="B15" s="186" t="s">
        <v>283</v>
      </c>
      <c r="C15" s="186"/>
      <c r="D15" s="2"/>
      <c r="E15" s="48"/>
      <c r="F15" s="48"/>
      <c r="G15" s="48"/>
      <c r="H15" s="48"/>
      <c r="I15" s="293"/>
      <c r="J15" s="291" t="str">
        <f>IF(O13&gt;0,"ERROR",IF(P15=99,"LOAD EXCEEDS THE MAXIMUM LOAD",IF(E16="CONDUIT",Export!I4,IF(P15=22,"SER CABLE IS NOT AVAILABLE IN FOUR",IF('S-Sec Cable'!E18="ERROR",'S-Sec Cable'!J23,Export!I4)))))</f>
        <v xml:space="preserve"> 1- SER CABLE</v>
      </c>
      <c r="K15" s="293"/>
      <c r="L15" s="48"/>
      <c r="M15" s="48"/>
      <c r="N15" s="48"/>
      <c r="O15" s="49">
        <f t="shared" ref="O15:O20" si="0">IF(ISBLANK(E16)=TRUE,1,0)</f>
        <v>0</v>
      </c>
      <c r="P15" s="49">
        <f>IF(E16="CONDUIT",0,IF((O15+O17+O16+O18+O19+O20),0,IF(Calcs!E97&gt;1200,99,IF(AND(E16="SER",E18="CU",Input!J9="3Y"),22,IF('S-Sec Cable'!E18="ERROR",11,IF(AND(E16="SER",E18="CU",Input!J9="3Y"),22,0))))))</f>
        <v>0</v>
      </c>
      <c r="Q15" s="49">
        <f>IF(E16="CONDUIT",SUM(O15:O23),SUM(O15:O20))</f>
        <v>0</v>
      </c>
    </row>
    <row r="16" spans="1:24" ht="11.25" customHeight="1">
      <c r="A16" s="48"/>
      <c r="B16" s="2"/>
      <c r="C16" s="2" t="s">
        <v>282</v>
      </c>
      <c r="D16" s="2"/>
      <c r="E16" s="297" t="s">
        <v>125</v>
      </c>
      <c r="F16" s="48" t="str">
        <f>IF(O13&gt;0,"",IF(P15=99," ",IF(O15&gt;0,"       &lt; &lt; SELECT FEEDER TYPE",IF(P15&gt;10,"       &lt;&lt; CHECK ENTRY"," "))))</f>
        <v xml:space="preserve"> </v>
      </c>
      <c r="G16" s="48"/>
      <c r="H16" s="290"/>
      <c r="I16" s="293"/>
      <c r="J16" s="291" t="str">
        <f>IF(O13&gt;0,"ERROR",IF(P15=99,"OF 1,200A ALLOW BY THE PROGRAM",IF(E16="CONDUIT",Export!J4,IF(P15=22,"(4) CONDUCTOR COPPER",IF('S-Sec Cable'!E18="ERROR",'S-Sec Cable'!J24,Export!J4)))))</f>
        <v xml:space="preserve"> 3-#4 AL  </v>
      </c>
      <c r="K16" s="293"/>
      <c r="L16" s="290"/>
      <c r="M16" s="48"/>
      <c r="N16" s="48"/>
      <c r="O16" s="49">
        <f t="shared" si="0"/>
        <v>0</v>
      </c>
      <c r="P16" s="49">
        <f>IF(AND(E20&lt;100,E8="OPTIONAL"),1,0)</f>
        <v>0</v>
      </c>
      <c r="Q16" s="196" t="str">
        <f>TEXT(E17,0)</f>
        <v>25</v>
      </c>
      <c r="R16" s="197" t="s">
        <v>293</v>
      </c>
      <c r="S16" s="63" t="str">
        <f>CONCATENATE(Q17,Q16,R16)</f>
        <v xml:space="preserve"> 25'</v>
      </c>
    </row>
    <row r="17" spans="1:18" ht="11.25" customHeight="1">
      <c r="A17" s="48"/>
      <c r="B17" s="2"/>
      <c r="C17" s="2" t="s">
        <v>284</v>
      </c>
      <c r="D17" s="2"/>
      <c r="E17" s="298">
        <v>25</v>
      </c>
      <c r="F17" s="48" t="str">
        <f>IF(O13&gt;0,"",IF(O16&gt;0,"       &lt; &lt; ENTER LENGTH"," "))</f>
        <v xml:space="preserve"> </v>
      </c>
      <c r="G17" s="48"/>
      <c r="H17" s="489" t="s">
        <v>632</v>
      </c>
      <c r="I17" s="293"/>
      <c r="J17" s="291" t="str">
        <f>IF(O13&gt;0,"ERROR",Export!K4)</f>
        <v xml:space="preserve"> 1-#6 GND</v>
      </c>
      <c r="K17" s="293"/>
      <c r="L17" s="48"/>
      <c r="M17" s="48"/>
      <c r="N17" s="48"/>
      <c r="O17" s="49">
        <f t="shared" si="0"/>
        <v>0</v>
      </c>
      <c r="Q17" s="49" t="s">
        <v>66</v>
      </c>
    </row>
    <row r="18" spans="1:18" ht="11.25" customHeight="1">
      <c r="A18" s="48"/>
      <c r="B18" s="2"/>
      <c r="C18" s="2" t="s">
        <v>285</v>
      </c>
      <c r="D18" s="2"/>
      <c r="E18" s="297" t="s">
        <v>160</v>
      </c>
      <c r="F18" s="48" t="str">
        <f>IF(O13&gt;0,"",IF(P15=99," ",IF(O17&gt;0,"       &lt; &lt; SELECT CU or AL",IF(P15&gt;10,"       &lt;&lt; CHECK ENTRY"," "))))</f>
        <v xml:space="preserve"> </v>
      </c>
      <c r="G18" s="48"/>
      <c r="H18" s="490" t="s">
        <v>633</v>
      </c>
      <c r="I18" s="293"/>
      <c r="J18" s="291" t="str">
        <f>IF(O13&gt;0,"ERROR",Export!L4)</f>
        <v xml:space="preserve"> </v>
      </c>
      <c r="K18" s="293"/>
      <c r="L18" s="48"/>
      <c r="M18" s="48"/>
      <c r="N18" s="48"/>
      <c r="O18" s="49">
        <f t="shared" si="0"/>
        <v>0</v>
      </c>
    </row>
    <row r="19" spans="1:18" ht="11.25" customHeight="1">
      <c r="A19" s="48"/>
      <c r="B19" s="2"/>
      <c r="C19" s="2" t="s">
        <v>107</v>
      </c>
      <c r="D19" s="2"/>
      <c r="E19" s="299">
        <v>75</v>
      </c>
      <c r="F19" s="48" t="str">
        <f>IF(O13&gt;0,"",IF(O18&gt;0,"       &lt; &lt; SELECT WIRE TEMP",IF(P15=11,"       &lt;&lt; CHECK ENTRY"," ")))</f>
        <v xml:space="preserve"> </v>
      </c>
      <c r="G19" s="48"/>
      <c r="H19" s="491" t="s">
        <v>634</v>
      </c>
      <c r="I19" s="293"/>
      <c r="J19" s="291" t="str">
        <f>IF(O13&gt;0,"ERROR",Export!M4)</f>
        <v xml:space="preserve"> </v>
      </c>
      <c r="K19" s="293"/>
      <c r="L19" s="48"/>
      <c r="M19" s="48"/>
      <c r="N19" s="48"/>
      <c r="O19" s="49">
        <f>IF(ISBLANK(E20)=TRUE,1,0)</f>
        <v>0</v>
      </c>
    </row>
    <row r="20" spans="1:18" ht="11.25" customHeight="1">
      <c r="A20" s="48"/>
      <c r="B20" s="2"/>
      <c r="C20" s="2" t="s">
        <v>286</v>
      </c>
      <c r="D20" s="2"/>
      <c r="E20" s="297">
        <v>0</v>
      </c>
      <c r="F20" s="48" t="str">
        <f>IF(O13&gt;0,"",IF(O19&gt;0,"       &lt; &lt; ENTER MINIMUM AMPS",IF(P15=11,"       &lt;&lt; CHECK ENTRY"," ")))</f>
        <v xml:space="preserve"> </v>
      </c>
      <c r="G20" s="48"/>
      <c r="H20" s="48"/>
      <c r="I20" s="293"/>
      <c r="J20" s="2"/>
      <c r="K20" s="293"/>
      <c r="L20" s="48"/>
      <c r="M20" s="48"/>
      <c r="N20" s="48"/>
      <c r="O20" s="49">
        <f t="shared" si="0"/>
        <v>0</v>
      </c>
    </row>
    <row r="21" spans="1:18" ht="11.25" customHeight="1">
      <c r="A21" s="48"/>
      <c r="B21" s="2"/>
      <c r="C21" s="2" t="s">
        <v>288</v>
      </c>
      <c r="D21" s="2"/>
      <c r="E21" s="300">
        <v>0</v>
      </c>
      <c r="F21" s="48" t="str">
        <f>IF(O13&gt;0,"",IF(O20&gt;0,"       &lt; &lt; ENTER % FACTOR",IF(P15=11,"       &lt;&lt; CHECK ENTRY"," ")))</f>
        <v xml:space="preserve"> </v>
      </c>
      <c r="G21" s="48"/>
      <c r="H21" s="48"/>
      <c r="I21" s="293"/>
      <c r="J21" s="186" t="s">
        <v>453</v>
      </c>
      <c r="K21" s="293"/>
      <c r="L21" s="48"/>
      <c r="M21" s="48"/>
      <c r="N21" s="48"/>
      <c r="O21" s="49">
        <f>IF(E16&lt;&gt;"CONDUIT",0,IF(ISBLANK(E22)=TRUE,1,0))</f>
        <v>0</v>
      </c>
    </row>
    <row r="22" spans="1:18" ht="11.25" customHeight="1">
      <c r="A22" s="48"/>
      <c r="B22" s="2"/>
      <c r="C22" s="2" t="str">
        <f>IF(E16="CONDUIT","GROUND WIRE Y/N"," ")</f>
        <v>GROUND WIRE Y/N</v>
      </c>
      <c r="D22" s="2"/>
      <c r="E22" s="297" t="s">
        <v>287</v>
      </c>
      <c r="F22" s="48" t="str">
        <f>IF(E16&lt;&gt;"CONDUIT"," ",IF(O21&gt;0,"       &lt; &lt; SELECT YES or NO"," "))</f>
        <v xml:space="preserve"> </v>
      </c>
      <c r="G22" s="48"/>
      <c r="H22" s="48"/>
      <c r="I22" s="293"/>
      <c r="J22" s="292" t="str">
        <f>IF(O13&gt;0,"ERROR",IF(R1&gt;0," ERROR",Short!L30))</f>
        <v>6,580 CLC</v>
      </c>
      <c r="K22" s="293"/>
      <c r="L22" s="48"/>
      <c r="M22" s="48"/>
      <c r="N22" s="48"/>
      <c r="O22" s="49">
        <f>IF(E16&lt;&gt;"CONDUIT",0,IF(ISBLANK(E23)=TRUE,1,0))</f>
        <v>0</v>
      </c>
    </row>
    <row r="23" spans="1:18" ht="11.25" customHeight="1">
      <c r="A23" s="48"/>
      <c r="B23" s="2"/>
      <c r="C23" s="2" t="str">
        <f>IF(E16="CONDUIT","SELECT WIRE TYPE"," ")</f>
        <v>SELECT WIRE TYPE</v>
      </c>
      <c r="D23" s="2"/>
      <c r="E23" s="297" t="s">
        <v>202</v>
      </c>
      <c r="F23" s="48" t="str">
        <f>IF(E16&lt;&gt;"CONDUIT"," ",IF(O22&gt;0,"       &lt; &lt; SELECT YES or NO"," "))</f>
        <v xml:space="preserve"> </v>
      </c>
      <c r="G23" s="48"/>
      <c r="H23" s="48"/>
      <c r="I23" s="293"/>
      <c r="J23" s="2"/>
      <c r="K23" s="293"/>
      <c r="L23" s="48"/>
      <c r="M23" s="48"/>
      <c r="N23" s="48"/>
      <c r="O23" s="49">
        <f>IF(E16&lt;&gt;"CONDUIT",0,IF(ISBLANK(E24)=TRUE,1,0))</f>
        <v>0</v>
      </c>
    </row>
    <row r="24" spans="1:18" ht="11.25" customHeight="1">
      <c r="A24" s="48"/>
      <c r="B24" s="2"/>
      <c r="C24" s="2" t="str">
        <f>IF(E16="CONDUIT","CONDUIT TYPE"," ")</f>
        <v>CONDUIT TYPE</v>
      </c>
      <c r="D24" s="2"/>
      <c r="E24" s="297" t="s">
        <v>136</v>
      </c>
      <c r="F24" s="48" t="str">
        <f>IF(E16&lt;&gt;"CONDUIT"," ",IF(O23&gt;0,"       &lt; &lt; SELECT CONDUIT TYPE"," "))</f>
        <v xml:space="preserve"> </v>
      </c>
      <c r="G24" s="48"/>
      <c r="H24" s="48"/>
      <c r="I24" s="293"/>
      <c r="J24" s="2"/>
      <c r="K24" s="293"/>
      <c r="L24" s="48"/>
      <c r="M24" s="48"/>
      <c r="N24" s="48"/>
    </row>
    <row r="25" spans="1:18" ht="11.25" customHeight="1">
      <c r="A25" s="48"/>
      <c r="B25" s="2"/>
      <c r="C25" s="2" t="str">
        <f>IF(J3="NO","","VOLTAGE DROP % FACTOR")</f>
        <v>VOLTAGE DROP % FACTOR</v>
      </c>
      <c r="D25" s="2"/>
      <c r="E25" s="300">
        <v>0</v>
      </c>
      <c r="F25" s="301" t="str">
        <f>IF(J3="NO","",IF(O50&gt;0,"       &lt; &lt; ENTER % FACTOR",""))</f>
        <v/>
      </c>
      <c r="G25" s="48"/>
      <c r="H25" s="48"/>
      <c r="I25" s="293"/>
      <c r="J25" s="2"/>
      <c r="K25" s="293"/>
      <c r="L25" s="48"/>
      <c r="M25" s="48"/>
      <c r="N25" s="48"/>
    </row>
    <row r="26" spans="1:18" ht="11.25" customHeight="1">
      <c r="A26" s="48"/>
      <c r="B26" s="186"/>
      <c r="C26" s="2"/>
      <c r="D26" s="2"/>
      <c r="E26" s="48"/>
      <c r="F26" s="48"/>
      <c r="G26" s="48"/>
      <c r="H26" s="48"/>
      <c r="I26" s="293"/>
      <c r="J26" s="2"/>
      <c r="K26" s="293"/>
      <c r="L26" s="48"/>
      <c r="M26" s="48"/>
      <c r="N26" s="48"/>
    </row>
    <row r="27" spans="1:18" ht="11.25" customHeight="1">
      <c r="A27" s="48"/>
      <c r="B27" s="2"/>
      <c r="C27" s="2"/>
      <c r="D27" s="2"/>
      <c r="E27" s="54"/>
      <c r="F27" s="48"/>
      <c r="G27" s="48"/>
      <c r="H27" s="48"/>
      <c r="I27" s="293"/>
      <c r="J27" s="2"/>
      <c r="K27" s="293"/>
      <c r="L27" s="48"/>
      <c r="M27" s="48"/>
      <c r="N27" s="48"/>
      <c r="O27" s="49">
        <v>0</v>
      </c>
    </row>
    <row r="28" spans="1:18" ht="11.25" customHeight="1">
      <c r="A28" s="48"/>
      <c r="B28" s="2"/>
      <c r="C28" s="2"/>
      <c r="D28" s="2"/>
      <c r="E28" s="48"/>
      <c r="F28" s="48"/>
      <c r="G28" s="54"/>
      <c r="H28" s="54"/>
      <c r="I28" s="293"/>
      <c r="J28" s="48"/>
      <c r="K28" s="293"/>
      <c r="L28" s="48"/>
      <c r="M28" s="48"/>
      <c r="N28" s="48"/>
    </row>
    <row r="29" spans="1:18" ht="11.25" customHeight="1">
      <c r="A29" s="48"/>
      <c r="B29" s="52" t="s">
        <v>563</v>
      </c>
      <c r="C29" s="48"/>
      <c r="D29" s="48"/>
      <c r="E29" s="54"/>
      <c r="F29" s="54"/>
      <c r="G29" s="54"/>
      <c r="H29" s="54"/>
      <c r="I29" s="293"/>
      <c r="J29" s="48"/>
      <c r="K29" s="293"/>
      <c r="L29" s="48"/>
      <c r="M29" s="48"/>
      <c r="N29" s="48"/>
      <c r="O29" s="239"/>
    </row>
    <row r="30" spans="1:18" ht="11.25" customHeight="1">
      <c r="A30" s="48"/>
      <c r="B30" s="52"/>
      <c r="C30" s="3" t="s">
        <v>5</v>
      </c>
      <c r="D30" s="48"/>
      <c r="E30" s="54" t="s">
        <v>1</v>
      </c>
      <c r="F30" s="54" t="s">
        <v>10</v>
      </c>
      <c r="G30" s="54"/>
      <c r="H30" s="54"/>
      <c r="I30" s="293"/>
      <c r="J30" s="48"/>
      <c r="K30" s="293"/>
      <c r="L30" s="48"/>
      <c r="M30" s="48"/>
      <c r="N30" s="48"/>
      <c r="P30" s="49">
        <f>IF(AND(F31&gt;0,E31=0),1,0)</f>
        <v>0</v>
      </c>
      <c r="Q30" s="49">
        <f>IF(AND(E31&gt;0,F31=0),1,0)</f>
        <v>0</v>
      </c>
    </row>
    <row r="31" spans="1:18" ht="11.25" customHeight="1">
      <c r="A31" s="48"/>
      <c r="B31" s="2"/>
      <c r="C31" s="2" t="s">
        <v>63</v>
      </c>
      <c r="D31" s="2"/>
      <c r="E31" s="44"/>
      <c r="F31" s="45"/>
      <c r="G31" s="54"/>
      <c r="H31" s="48" t="str">
        <f>IF(Q30=1,"&lt;&lt;&lt; ENTER KVA",IF(P30=1,"&lt;&lt;&lt; ENTER QTY."," "))</f>
        <v xml:space="preserve"> </v>
      </c>
      <c r="I31" s="293"/>
      <c r="J31" s="48"/>
      <c r="K31" s="293"/>
      <c r="L31" s="2"/>
      <c r="M31" s="48"/>
      <c r="N31" s="48"/>
      <c r="O31" s="49">
        <f>P30+Q30</f>
        <v>0</v>
      </c>
      <c r="P31" s="49">
        <f>IF(AND(F32&gt;0,E32=0),1,0)</f>
        <v>0</v>
      </c>
      <c r="Q31" s="49">
        <f>IF(AND(E32&gt;0,F32=0),1,0)</f>
        <v>0</v>
      </c>
      <c r="R31" s="50">
        <f>IF(E32&gt;0,IF(F32&gt;4.9,0,2),0)</f>
        <v>0</v>
      </c>
    </row>
    <row r="32" spans="1:18" ht="11.25" customHeight="1">
      <c r="A32" s="48"/>
      <c r="B32" s="2"/>
      <c r="C32" s="2" t="s">
        <v>2</v>
      </c>
      <c r="D32" s="2"/>
      <c r="E32" s="484">
        <v>1</v>
      </c>
      <c r="F32" s="485">
        <v>5</v>
      </c>
      <c r="G32" s="54"/>
      <c r="H32" s="48" t="str">
        <f>IF(Q31=1,"&lt;&lt;&lt; ENTER KVA",IF(P31=1,"&lt;&lt;&lt; ENTER QTY.",IF(O32=2,"&lt;&lt; KVA MUST BE 5 OR LARGER"," ")))</f>
        <v xml:space="preserve"> </v>
      </c>
      <c r="I32" s="293"/>
      <c r="J32" s="48"/>
      <c r="K32" s="293"/>
      <c r="L32" s="2"/>
      <c r="M32" s="48"/>
      <c r="N32" s="48"/>
      <c r="O32" s="49">
        <f>P31+Q31+R31</f>
        <v>0</v>
      </c>
      <c r="P32" s="49">
        <f>IF(AND(F33&gt;0,E33=0),1,0)</f>
        <v>0</v>
      </c>
      <c r="Q32" s="49">
        <f>IF(AND(E33&gt;0,F33=0),1,0)</f>
        <v>0</v>
      </c>
    </row>
    <row r="33" spans="1:235" ht="11.25" customHeight="1">
      <c r="A33" s="48"/>
      <c r="B33" s="2"/>
      <c r="C33" s="2" t="s">
        <v>3</v>
      </c>
      <c r="D33" s="2"/>
      <c r="E33" s="44"/>
      <c r="F33" s="45"/>
      <c r="G33" s="54"/>
      <c r="H33" s="48" t="str">
        <f>IF(Q32=1,"&lt;&lt;&lt; ENTER KVA",IF(P32=1,"&lt;&lt;&lt; ENTER QTY."," "))</f>
        <v xml:space="preserve"> </v>
      </c>
      <c r="I33" s="293"/>
      <c r="J33" s="48"/>
      <c r="K33" s="293"/>
      <c r="L33" s="2"/>
      <c r="M33" s="48"/>
      <c r="N33" s="48"/>
      <c r="O33" s="49">
        <f>P32+Q32</f>
        <v>0</v>
      </c>
    </row>
    <row r="34" spans="1:235" ht="11.25" customHeight="1">
      <c r="A34" s="48"/>
      <c r="B34" s="2"/>
      <c r="C34" s="2"/>
      <c r="D34" s="2"/>
      <c r="E34" s="377"/>
      <c r="F34" s="318"/>
      <c r="G34" s="54"/>
      <c r="H34" s="48"/>
      <c r="I34" s="293"/>
      <c r="J34" s="48"/>
      <c r="K34" s="293"/>
      <c r="L34" s="2"/>
      <c r="M34" s="48"/>
      <c r="N34" s="48"/>
    </row>
    <row r="35" spans="1:235" ht="11.25" customHeight="1">
      <c r="A35" s="48"/>
      <c r="B35" s="186" t="s">
        <v>564</v>
      </c>
      <c r="C35" s="2"/>
      <c r="D35" s="2"/>
      <c r="E35" s="377"/>
      <c r="F35" s="318"/>
      <c r="G35" s="54"/>
      <c r="H35" s="48"/>
      <c r="I35" s="293"/>
      <c r="J35" s="48"/>
      <c r="K35" s="293"/>
      <c r="L35" s="2"/>
      <c r="M35" s="48"/>
      <c r="N35" s="48"/>
    </row>
    <row r="36" spans="1:235" ht="11.25" customHeight="1">
      <c r="A36" s="48"/>
      <c r="B36" s="186"/>
      <c r="C36" s="2"/>
      <c r="D36" s="2" t="s">
        <v>5</v>
      </c>
      <c r="E36" s="377" t="s">
        <v>1</v>
      </c>
      <c r="F36" s="318" t="s">
        <v>4</v>
      </c>
      <c r="G36" s="54"/>
      <c r="H36" s="48"/>
      <c r="I36" s="293"/>
      <c r="J36" s="48"/>
      <c r="K36" s="293"/>
      <c r="L36" s="2"/>
      <c r="M36" s="48"/>
      <c r="N36" s="48"/>
      <c r="O36" s="49">
        <f>P36+Q36</f>
        <v>0</v>
      </c>
      <c r="P36" s="49">
        <f>IF(AND(F37&gt;0,E37=0),1,0)</f>
        <v>0</v>
      </c>
      <c r="Q36" s="49">
        <f>IF(AND(E37&gt;0,F37=0),1,0)</f>
        <v>0</v>
      </c>
    </row>
    <row r="37" spans="1:235" ht="11.25" customHeight="1">
      <c r="A37" s="48"/>
      <c r="B37" s="2"/>
      <c r="C37" s="319"/>
      <c r="D37" s="486" t="s">
        <v>583</v>
      </c>
      <c r="E37" s="484">
        <v>1</v>
      </c>
      <c r="F37" s="485">
        <v>12</v>
      </c>
      <c r="G37" s="54"/>
      <c r="H37" s="48" t="str">
        <f>IF(Q36=1,"&lt;&lt;&lt; ENTER AMPS",IF(P36=1,"&lt;&lt;&lt; ENTER QTY."," "))</f>
        <v xml:space="preserve"> </v>
      </c>
      <c r="I37" s="293"/>
      <c r="J37" s="48"/>
      <c r="K37" s="293"/>
      <c r="L37" s="2"/>
      <c r="M37" s="48"/>
      <c r="N37" s="48"/>
      <c r="O37" s="49">
        <f t="shared" ref="O37:O45" si="1">P37+Q37</f>
        <v>0</v>
      </c>
      <c r="P37" s="49">
        <f t="shared" ref="P37:P45" si="2">IF(AND(F38&gt;0,E38=0),1,0)</f>
        <v>0</v>
      </c>
      <c r="Q37" s="49">
        <f t="shared" ref="Q37:Q45" si="3">IF(AND(E38&gt;0,F38=0),1,0)</f>
        <v>0</v>
      </c>
    </row>
    <row r="38" spans="1:235" ht="11.25" customHeight="1">
      <c r="A38" s="48"/>
      <c r="B38" s="2"/>
      <c r="C38" s="319"/>
      <c r="D38" s="486"/>
      <c r="E38" s="484"/>
      <c r="F38" s="485"/>
      <c r="G38" s="54"/>
      <c r="H38" s="48" t="str">
        <f t="shared" ref="H38:H46" si="4">IF(Q37=1,"&lt;&lt;&lt; ENTER AMPS",IF(P37=1,"&lt;&lt;&lt; ENTER QTY."," "))</f>
        <v xml:space="preserve"> </v>
      </c>
      <c r="I38" s="293"/>
      <c r="J38" s="48"/>
      <c r="K38" s="293"/>
      <c r="L38" s="2"/>
      <c r="M38" s="48"/>
      <c r="N38" s="48"/>
      <c r="O38" s="49">
        <f t="shared" si="1"/>
        <v>0</v>
      </c>
      <c r="P38" s="49">
        <f t="shared" si="2"/>
        <v>0</v>
      </c>
      <c r="Q38" s="49">
        <f t="shared" si="3"/>
        <v>0</v>
      </c>
    </row>
    <row r="39" spans="1:235" ht="11.25" customHeight="1">
      <c r="A39" s="48"/>
      <c r="B39" s="2"/>
      <c r="C39" s="319"/>
      <c r="D39" s="486"/>
      <c r="E39" s="484"/>
      <c r="F39" s="485"/>
      <c r="G39" s="54"/>
      <c r="H39" s="48" t="str">
        <f t="shared" si="4"/>
        <v xml:space="preserve"> </v>
      </c>
      <c r="I39" s="293"/>
      <c r="J39" s="48"/>
      <c r="K39" s="293"/>
      <c r="L39" s="2"/>
      <c r="M39" s="48"/>
      <c r="N39" s="48"/>
      <c r="O39" s="49">
        <f t="shared" si="1"/>
        <v>0</v>
      </c>
      <c r="P39" s="49">
        <f t="shared" si="2"/>
        <v>0</v>
      </c>
      <c r="Q39" s="49">
        <f t="shared" si="3"/>
        <v>0</v>
      </c>
    </row>
    <row r="40" spans="1:235" ht="11.25" customHeight="1">
      <c r="A40" s="48"/>
      <c r="B40" s="2"/>
      <c r="C40" s="319"/>
      <c r="D40" s="486"/>
      <c r="E40" s="484"/>
      <c r="F40" s="485"/>
      <c r="G40" s="54"/>
      <c r="H40" s="48" t="str">
        <f t="shared" si="4"/>
        <v xml:space="preserve"> </v>
      </c>
      <c r="I40" s="293"/>
      <c r="J40" s="48"/>
      <c r="K40" s="293"/>
      <c r="L40" s="2"/>
      <c r="M40" s="48"/>
      <c r="N40" s="48"/>
      <c r="O40" s="49">
        <f t="shared" si="1"/>
        <v>0</v>
      </c>
      <c r="P40" s="49">
        <f t="shared" si="2"/>
        <v>0</v>
      </c>
      <c r="Q40" s="49">
        <f t="shared" si="3"/>
        <v>0</v>
      </c>
    </row>
    <row r="41" spans="1:235" ht="11.25" customHeight="1">
      <c r="A41" s="48"/>
      <c r="B41" s="2"/>
      <c r="C41" s="319"/>
      <c r="D41" s="486"/>
      <c r="E41" s="484"/>
      <c r="F41" s="485"/>
      <c r="G41" s="54"/>
      <c r="H41" s="48" t="str">
        <f t="shared" si="4"/>
        <v xml:space="preserve"> </v>
      </c>
      <c r="I41" s="293"/>
      <c r="J41" s="48"/>
      <c r="K41" s="293"/>
      <c r="L41" s="2"/>
      <c r="M41" s="48"/>
      <c r="N41" s="48"/>
      <c r="O41" s="49">
        <f t="shared" si="1"/>
        <v>0</v>
      </c>
      <c r="P41" s="49">
        <f t="shared" si="2"/>
        <v>0</v>
      </c>
      <c r="Q41" s="49">
        <f t="shared" si="3"/>
        <v>0</v>
      </c>
    </row>
    <row r="42" spans="1:235" ht="11.25" customHeight="1">
      <c r="A42" s="48"/>
      <c r="B42" s="2"/>
      <c r="C42" s="319"/>
      <c r="D42" s="486"/>
      <c r="E42" s="484"/>
      <c r="F42" s="485"/>
      <c r="G42" s="54"/>
      <c r="H42" s="48" t="str">
        <f t="shared" si="4"/>
        <v xml:space="preserve"> </v>
      </c>
      <c r="I42" s="293"/>
      <c r="J42" s="48"/>
      <c r="K42" s="293"/>
      <c r="L42" s="2"/>
      <c r="M42" s="48"/>
      <c r="N42" s="48"/>
      <c r="O42" s="49">
        <f t="shared" si="1"/>
        <v>0</v>
      </c>
      <c r="P42" s="49">
        <f t="shared" si="2"/>
        <v>0</v>
      </c>
      <c r="Q42" s="49">
        <f t="shared" si="3"/>
        <v>0</v>
      </c>
    </row>
    <row r="43" spans="1:235" ht="11.25" customHeight="1">
      <c r="A43" s="48"/>
      <c r="B43" s="2"/>
      <c r="C43" s="319"/>
      <c r="D43" s="486"/>
      <c r="E43" s="484"/>
      <c r="F43" s="485"/>
      <c r="G43" s="54"/>
      <c r="H43" s="48" t="str">
        <f t="shared" si="4"/>
        <v xml:space="preserve"> </v>
      </c>
      <c r="I43" s="293"/>
      <c r="J43" s="48"/>
      <c r="K43" s="293"/>
      <c r="L43" s="2"/>
      <c r="M43" s="48"/>
      <c r="N43" s="48"/>
      <c r="O43" s="49">
        <f t="shared" si="1"/>
        <v>0</v>
      </c>
      <c r="P43" s="49">
        <f t="shared" si="2"/>
        <v>0</v>
      </c>
      <c r="Q43" s="49">
        <f t="shared" si="3"/>
        <v>0</v>
      </c>
    </row>
    <row r="44" spans="1:235" ht="11.25" customHeight="1">
      <c r="A44" s="48"/>
      <c r="B44" s="2"/>
      <c r="C44" s="319"/>
      <c r="D44" s="486"/>
      <c r="E44" s="484"/>
      <c r="F44" s="485"/>
      <c r="G44" s="54"/>
      <c r="H44" s="48" t="str">
        <f t="shared" si="4"/>
        <v xml:space="preserve"> </v>
      </c>
      <c r="I44" s="293"/>
      <c r="J44" s="48"/>
      <c r="K44" s="293"/>
      <c r="L44" s="2"/>
      <c r="M44" s="48"/>
      <c r="N44" s="48"/>
      <c r="O44" s="49">
        <f t="shared" si="1"/>
        <v>0</v>
      </c>
      <c r="P44" s="49">
        <f t="shared" si="2"/>
        <v>0</v>
      </c>
      <c r="Q44" s="49">
        <f t="shared" si="3"/>
        <v>0</v>
      </c>
    </row>
    <row r="45" spans="1:235" ht="11.25" customHeight="1">
      <c r="A45" s="48"/>
      <c r="B45" s="2"/>
      <c r="C45" s="319"/>
      <c r="D45" s="376"/>
      <c r="E45" s="44"/>
      <c r="F45" s="45"/>
      <c r="G45" s="54"/>
      <c r="H45" s="48" t="str">
        <f t="shared" si="4"/>
        <v xml:space="preserve"> </v>
      </c>
      <c r="I45" s="293"/>
      <c r="J45" s="48"/>
      <c r="K45" s="293"/>
      <c r="L45" s="2"/>
      <c r="M45" s="48"/>
      <c r="N45" s="48"/>
      <c r="O45" s="49">
        <f t="shared" si="1"/>
        <v>0</v>
      </c>
      <c r="P45" s="49">
        <f t="shared" si="2"/>
        <v>0</v>
      </c>
      <c r="Q45" s="49">
        <f t="shared" si="3"/>
        <v>0</v>
      </c>
    </row>
    <row r="46" spans="1:235" ht="11.25" customHeight="1">
      <c r="A46" s="48"/>
      <c r="B46" s="2"/>
      <c r="C46" s="319"/>
      <c r="D46" s="376"/>
      <c r="E46" s="44"/>
      <c r="F46" s="45"/>
      <c r="G46" s="54"/>
      <c r="H46" s="48" t="str">
        <f t="shared" si="4"/>
        <v xml:space="preserve"> </v>
      </c>
      <c r="I46" s="293"/>
      <c r="J46" s="48"/>
      <c r="K46" s="293"/>
      <c r="L46" s="2"/>
      <c r="M46" s="48"/>
      <c r="N46" s="48"/>
    </row>
    <row r="47" spans="1:235" s="367" customFormat="1" ht="11.25" customHeight="1">
      <c r="A47" s="48"/>
      <c r="B47" s="2"/>
      <c r="C47" s="2"/>
      <c r="D47" s="2"/>
      <c r="E47" s="2"/>
      <c r="F47" s="2"/>
      <c r="G47" s="54"/>
      <c r="H47" s="54"/>
      <c r="I47" s="293"/>
      <c r="J47" s="48"/>
      <c r="K47" s="293"/>
      <c r="L47" s="2"/>
      <c r="M47" s="48"/>
      <c r="N47" s="48"/>
      <c r="O47" s="49"/>
      <c r="P47" s="49"/>
      <c r="Q47" s="49"/>
      <c r="R47" s="50"/>
      <c r="S47" s="49"/>
      <c r="T47" s="49"/>
      <c r="U47" s="49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1"/>
      <c r="FK47" s="51"/>
      <c r="FL47" s="51"/>
      <c r="FM47" s="51"/>
      <c r="FN47" s="51"/>
      <c r="FO47" s="51"/>
      <c r="FP47" s="51"/>
      <c r="FQ47" s="51"/>
      <c r="FR47" s="51"/>
      <c r="FS47" s="51"/>
      <c r="FT47" s="51"/>
      <c r="FU47" s="51"/>
      <c r="FV47" s="51"/>
      <c r="FW47" s="51"/>
      <c r="FX47" s="51"/>
      <c r="FY47" s="51"/>
      <c r="FZ47" s="51"/>
      <c r="GA47" s="51"/>
      <c r="GB47" s="51"/>
      <c r="GC47" s="51"/>
      <c r="GD47" s="51"/>
      <c r="GE47" s="51"/>
      <c r="GF47" s="51"/>
      <c r="GG47" s="51"/>
      <c r="GH47" s="51"/>
      <c r="GI47" s="51"/>
      <c r="GJ47" s="51"/>
      <c r="GK47" s="51"/>
      <c r="GL47" s="51"/>
      <c r="GM47" s="51"/>
      <c r="GN47" s="51"/>
      <c r="GO47" s="51"/>
      <c r="GP47" s="51"/>
      <c r="GQ47" s="51"/>
      <c r="GR47" s="51"/>
      <c r="GS47" s="51"/>
      <c r="GT47" s="51"/>
      <c r="GU47" s="51"/>
      <c r="GV47" s="51"/>
      <c r="GW47" s="51"/>
      <c r="GX47" s="51"/>
      <c r="GY47" s="51"/>
      <c r="GZ47" s="51"/>
      <c r="HA47" s="51"/>
      <c r="HB47" s="51"/>
      <c r="HC47" s="51"/>
      <c r="HD47" s="51"/>
      <c r="HE47" s="51"/>
      <c r="HF47" s="51"/>
      <c r="HG47" s="51"/>
      <c r="HH47" s="51"/>
      <c r="HI47" s="51"/>
      <c r="HJ47" s="51"/>
      <c r="HK47" s="51"/>
      <c r="HL47" s="51"/>
      <c r="HM47" s="51"/>
      <c r="HN47" s="51"/>
      <c r="HO47" s="51"/>
      <c r="HP47" s="51"/>
      <c r="HQ47" s="51"/>
      <c r="HR47" s="51"/>
      <c r="HS47" s="51"/>
      <c r="HT47" s="51"/>
      <c r="HU47" s="51"/>
      <c r="HV47" s="51"/>
      <c r="HW47" s="51"/>
      <c r="HX47" s="51"/>
      <c r="HY47" s="51"/>
      <c r="HZ47" s="51"/>
      <c r="IA47" s="51"/>
    </row>
    <row r="48" spans="1:235" ht="11.25" customHeight="1">
      <c r="A48" s="48"/>
      <c r="B48" s="457" t="s">
        <v>589</v>
      </c>
      <c r="C48" s="48"/>
      <c r="D48" s="48"/>
      <c r="E48" s="48"/>
      <c r="F48" s="48"/>
      <c r="G48" s="48"/>
      <c r="H48" s="48"/>
      <c r="I48" s="293"/>
      <c r="J48" s="48"/>
      <c r="K48" s="293"/>
      <c r="L48" s="48"/>
      <c r="M48" s="48"/>
      <c r="N48" s="48"/>
    </row>
    <row r="49" spans="1:16" ht="11.25" customHeight="1">
      <c r="A49" s="48"/>
      <c r="B49" s="48"/>
      <c r="C49" s="48"/>
      <c r="D49" s="48"/>
      <c r="E49" s="48"/>
      <c r="F49" s="48"/>
      <c r="G49" s="48"/>
      <c r="H49" s="48"/>
      <c r="I49" s="293"/>
      <c r="J49" s="48"/>
      <c r="K49" s="293"/>
      <c r="L49" s="48"/>
      <c r="M49" s="48"/>
      <c r="N49" s="48"/>
    </row>
    <row r="50" spans="1:16" ht="11.25" customHeight="1">
      <c r="A50" s="48"/>
      <c r="B50" s="467" t="s">
        <v>592</v>
      </c>
      <c r="C50" s="465" t="s">
        <v>548</v>
      </c>
      <c r="D50" s="460"/>
      <c r="E50" s="460"/>
      <c r="F50" s="460"/>
      <c r="G50" s="460"/>
      <c r="H50" s="460"/>
      <c r="I50" s="461"/>
      <c r="J50" s="462" t="s">
        <v>11</v>
      </c>
      <c r="K50" s="459"/>
      <c r="L50" s="48"/>
      <c r="M50" s="48"/>
      <c r="N50" s="48"/>
      <c r="O50" s="49">
        <f>IF(J3="NO",0,IF(ISBLANK(E25)=TRUE,1,0))</f>
        <v>0</v>
      </c>
    </row>
    <row r="51" spans="1:16" ht="11.25" customHeight="1">
      <c r="A51" s="48"/>
      <c r="B51" s="467"/>
      <c r="C51" s="466" t="s">
        <v>547</v>
      </c>
      <c r="D51" s="463"/>
      <c r="E51" s="463"/>
      <c r="F51" s="463"/>
      <c r="G51" s="463"/>
      <c r="H51" s="463"/>
      <c r="I51" s="464"/>
      <c r="J51" s="45">
        <v>4</v>
      </c>
      <c r="K51" s="458"/>
      <c r="L51" s="48" t="str">
        <f>IF(O51&gt;0," &lt;&lt; ENTER NUMBER"," ")</f>
        <v xml:space="preserve"> </v>
      </c>
      <c r="M51" s="48"/>
      <c r="N51" s="48"/>
      <c r="O51" s="49">
        <f>IF(ISBLANK(J51)=TRUE,1,0)</f>
        <v>0</v>
      </c>
    </row>
    <row r="52" spans="1:16" ht="11.25" customHeight="1">
      <c r="A52" s="48"/>
      <c r="B52" s="468"/>
      <c r="C52" s="48"/>
      <c r="D52" s="48"/>
      <c r="E52" s="48"/>
      <c r="F52" s="48"/>
      <c r="G52" s="48"/>
      <c r="H52" s="48"/>
      <c r="I52" s="293"/>
      <c r="J52" s="48"/>
      <c r="K52" s="293"/>
      <c r="L52" s="48"/>
      <c r="M52" s="48"/>
      <c r="N52" s="48"/>
      <c r="O52" s="239"/>
    </row>
    <row r="53" spans="1:16" ht="11.25" customHeight="1">
      <c r="A53" s="48"/>
      <c r="B53" s="467" t="s">
        <v>593</v>
      </c>
      <c r="C53" s="465" t="str">
        <f>IF(E7=2008,"ENTER 100% OF THE NAMEPLATE RATING(S) OF THE HEAT PUMP WHEN THE HEAT PUMP",IF(E7=2005,"ENTER 100% OF THE NAMEPLATE RATING(S) OF THE HEATING WHEN A HEAT PUMP","ENTER 100% OF THE TOTAL NAMEPLATE RATING(S) OF THE HEATING PUMP COMPRESSORS"))</f>
        <v>ENTER 100% OF THE NAMEPLATE RATING(S) OF THE HEAT PUMP WHEN THE HEAT PUMP</v>
      </c>
      <c r="D53" s="460"/>
      <c r="E53" s="460"/>
      <c r="F53" s="460"/>
      <c r="G53" s="460"/>
      <c r="H53" s="460"/>
      <c r="I53" s="461"/>
      <c r="J53" s="462" t="s">
        <v>11</v>
      </c>
      <c r="K53" s="459"/>
      <c r="L53" s="48"/>
      <c r="M53" s="48"/>
      <c r="N53" s="48"/>
      <c r="P53" s="317"/>
    </row>
    <row r="54" spans="1:16" ht="11.25" customHeight="1">
      <c r="A54" s="48"/>
      <c r="B54" s="467"/>
      <c r="C54" s="469" t="str">
        <f>IF(E7=2008,"IS USED WITHOUT ANY SUPPLEMENTAL ELECTRIC HEATING.",IF(E7=2005,"IS USED WITHOUT ANY SUPPLEMENTAL ELECTRIC HEATING.","AND SUPPLEMENTAL HEATING UNLESS THE CONTROLLER PREVENTS THE COMPRESSOR"))</f>
        <v>IS USED WITHOUT ANY SUPPLEMENTAL ELECTRIC HEATING.</v>
      </c>
      <c r="D54" s="470"/>
      <c r="E54" s="470"/>
      <c r="F54" s="470"/>
      <c r="G54" s="470"/>
      <c r="H54" s="470"/>
      <c r="I54" s="471"/>
      <c r="J54" s="45">
        <v>0</v>
      </c>
      <c r="K54" s="472"/>
      <c r="L54" s="48" t="str">
        <f>IF(O54&gt;0," &lt;&lt; ENTER KVA"," ")</f>
        <v xml:space="preserve"> </v>
      </c>
      <c r="M54" s="48"/>
      <c r="N54" s="48"/>
      <c r="O54" s="49">
        <f>IF(ISBLANK(J54)=TRUE,1,0)</f>
        <v>0</v>
      </c>
    </row>
    <row r="55" spans="1:16" ht="11.25" customHeight="1">
      <c r="A55" s="48"/>
      <c r="B55" s="468"/>
      <c r="C55" s="473" t="str">
        <f>IF(E7=2005,"",IF(E7=2008,"","AND SUPPLEMENTAL HEATING FROM OPERATING AT THE SAME TIME."))</f>
        <v/>
      </c>
      <c r="D55" s="463"/>
      <c r="E55" s="463"/>
      <c r="F55" s="463"/>
      <c r="G55" s="463"/>
      <c r="H55" s="463"/>
      <c r="I55" s="474"/>
      <c r="J55" s="463"/>
      <c r="K55" s="464"/>
      <c r="L55" s="48"/>
      <c r="M55" s="48"/>
      <c r="N55" s="48"/>
    </row>
    <row r="56" spans="1:16" ht="11.25" customHeight="1">
      <c r="A56" s="48"/>
      <c r="B56" s="468"/>
      <c r="C56" s="48"/>
      <c r="D56" s="48"/>
      <c r="E56" s="48"/>
      <c r="F56" s="48"/>
      <c r="G56" s="48"/>
      <c r="H56" s="48"/>
      <c r="I56" s="293"/>
      <c r="J56" s="48"/>
      <c r="K56" s="293"/>
      <c r="L56" s="48"/>
      <c r="M56" s="48"/>
      <c r="N56" s="48"/>
    </row>
    <row r="57" spans="1:16" ht="11.25" customHeight="1">
      <c r="A57" s="48"/>
      <c r="B57" s="468" t="s">
        <v>594</v>
      </c>
      <c r="C57" s="465" t="str">
        <f>IF(E7=2008,"ENTER 100% OF THE NAMEPLATE RATING(S) IN KVA OF THE HEAT PUMP",IF(E7=2005,"ENTER 100% OF THE NAMEPLATE RATING(S) OF ELECTRIC THERMAL STORAGE","ENTER 100% OF THE NAMEPLATE RATINGS OF ELECTRIC THERMAL STORAGE"))</f>
        <v>ENTER 100% OF THE NAMEPLATE RATING(S) IN KVA OF THE HEAT PUMP</v>
      </c>
      <c r="D57" s="460"/>
      <c r="E57" s="460"/>
      <c r="F57" s="460"/>
      <c r="G57" s="460"/>
      <c r="H57" s="460"/>
      <c r="I57" s="461"/>
      <c r="J57" s="462" t="s">
        <v>11</v>
      </c>
      <c r="K57" s="459"/>
      <c r="L57" s="48"/>
      <c r="M57" s="48"/>
      <c r="N57" s="48"/>
    </row>
    <row r="58" spans="1:16" ht="11.25" customHeight="1">
      <c r="A58" s="48"/>
      <c r="B58" s="468"/>
      <c r="C58" s="475" t="str">
        <f>IF(E7=2008,"COMPRESSOR.",IF(E7=2005,"AND OTHER HEATING SYSTEMS WHERE THE USUAL LOAD IS EXPECTED TO BE CONTINUOUS","AND OTHER HEATING SYSTEMS WHERE THE USUAL LOAD IS EXPECTED TO BE CONTINUOUS"))</f>
        <v>COMPRESSOR.</v>
      </c>
      <c r="D58" s="470"/>
      <c r="E58" s="470"/>
      <c r="F58" s="470"/>
      <c r="G58" s="470"/>
      <c r="H58" s="470"/>
      <c r="I58" s="471"/>
      <c r="J58" s="45">
        <v>0</v>
      </c>
      <c r="K58" s="472"/>
      <c r="L58" s="48" t="str">
        <f>IF(O58&gt;0," &lt;&lt; ENTER KVA"," ")</f>
        <v xml:space="preserve"> </v>
      </c>
      <c r="M58" s="48"/>
      <c r="N58" s="48"/>
      <c r="O58" s="49">
        <f>IF(ISBLANK(J58)=TRUE,1,0)</f>
        <v>0</v>
      </c>
    </row>
    <row r="59" spans="1:16" ht="11.25" customHeight="1">
      <c r="A59" s="48"/>
      <c r="B59" s="468"/>
      <c r="C59" s="475" t="str">
        <f>IF(E7=2008,"",IF(E7=2005,"AT THE FULL NAMEPLATE VALUE.  SYSTEMS QUALIFYING UNDER THIS SELECTION SHALL NOT","AT THE FULL NAMEPLATE VALUE.  SYSTEMS QUALIFYING UNDER THIS SELECTION SHALL NOT"))</f>
        <v/>
      </c>
      <c r="D59" s="470"/>
      <c r="E59" s="470"/>
      <c r="F59" s="470"/>
      <c r="G59" s="470"/>
      <c r="H59" s="470"/>
      <c r="I59" s="471"/>
      <c r="J59" s="476"/>
      <c r="K59" s="472"/>
      <c r="L59" s="48"/>
      <c r="M59" s="48"/>
      <c r="N59" s="48"/>
    </row>
    <row r="60" spans="1:16" ht="11.25" customHeight="1">
      <c r="A60" s="48"/>
      <c r="B60" s="468"/>
      <c r="C60" s="475" t="str">
        <f>IF(E7=2008,"ENTER 100% OF THE SUPPLEMENTARY ELECTRIC HEAT USED WITH THE HEAT PUMP.",IF(E7=2005,"BE CALCULATED UNDER ANY OTHER SELECTION IN 220.82(C).","BE CALCULATED UNDER ANY OTHER SELECTION IN 220.30(C)."))</f>
        <v>ENTER 100% OF THE SUPPLEMENTARY ELECTRIC HEAT USED WITH THE HEAT PUMP.</v>
      </c>
      <c r="D60" s="470"/>
      <c r="E60" s="470"/>
      <c r="F60" s="470"/>
      <c r="G60" s="470"/>
      <c r="H60" s="470"/>
      <c r="I60" s="471"/>
      <c r="J60" s="476" t="str">
        <f>IF(E7=2008,"ENTER KVA","")</f>
        <v>ENTER KVA</v>
      </c>
      <c r="K60" s="472"/>
      <c r="L60" s="48"/>
      <c r="M60" s="48"/>
      <c r="N60" s="48"/>
    </row>
    <row r="61" spans="1:16" ht="11.25" customHeight="1">
      <c r="A61" s="48"/>
      <c r="B61" s="468"/>
      <c r="C61" s="466" t="str">
        <f>IF(E7=2008,"   NOTE: PROGRAM WILL AUTOMATICALLY ADJUST THIS AMOUNT TO 65%.","")</f>
        <v xml:space="preserve">   NOTE: PROGRAM WILL AUTOMATICALLY ADJUST THIS AMOUNT TO 65%.</v>
      </c>
      <c r="D61" s="463"/>
      <c r="E61" s="463"/>
      <c r="F61" s="463"/>
      <c r="G61" s="463"/>
      <c r="H61" s="463"/>
      <c r="I61" s="464"/>
      <c r="J61" s="297">
        <v>0</v>
      </c>
      <c r="K61" s="458"/>
      <c r="L61" s="48" t="str">
        <f>IF(O61&gt;0," &lt;&lt; ENTER KVA"," ")</f>
        <v xml:space="preserve"> </v>
      </c>
      <c r="M61" s="48"/>
      <c r="N61" s="48"/>
      <c r="O61" s="49">
        <f>IF(E7&lt;&gt;2008,0,IF(ISBLANK(J61)=TRUE,1,IF(ISTEXT(J61)=TRUE,1,0)))</f>
        <v>0</v>
      </c>
    </row>
    <row r="62" spans="1:16" ht="11.25" customHeight="1">
      <c r="A62" s="48"/>
      <c r="B62" s="468"/>
      <c r="C62" s="48"/>
      <c r="D62" s="2"/>
      <c r="E62" s="48"/>
      <c r="F62" s="48"/>
      <c r="G62" s="48"/>
      <c r="H62" s="48"/>
      <c r="I62" s="293"/>
      <c r="J62" s="48"/>
      <c r="K62" s="293"/>
      <c r="L62" s="48"/>
      <c r="M62" s="48"/>
      <c r="N62" s="48"/>
    </row>
    <row r="63" spans="1:16" ht="11.25" customHeight="1">
      <c r="A63" s="48"/>
      <c r="B63" s="467" t="s">
        <v>595</v>
      </c>
      <c r="C63" s="465" t="str">
        <f>IF(E7=2002,"ENTER 100% OF THE NAMEPLATE RATING(S) OF THE CENTRAL ELECTRIC SPACE HEATING,",IF(E7=2005,"ENTER 100% OF THE NAMEPLATE RATING(S) IN KVA OF THE HEAT PUMP","ENTER 100% OF THE NAMEPLATE RATING(S) OF ELECTRIC SPACE HEATING IF LESS THAN"))</f>
        <v>ENTER 100% OF THE NAMEPLATE RATING(S) OF ELECTRIC SPACE HEATING IF LESS THAN</v>
      </c>
      <c r="D63" s="477"/>
      <c r="E63" s="460"/>
      <c r="F63" s="460"/>
      <c r="G63" s="460"/>
      <c r="H63" s="460"/>
      <c r="I63" s="461"/>
      <c r="J63" s="462" t="s">
        <v>11</v>
      </c>
      <c r="K63" s="459"/>
      <c r="L63" s="48"/>
      <c r="M63" s="48"/>
      <c r="N63" s="48"/>
    </row>
    <row r="64" spans="1:16" ht="11.25" customHeight="1">
      <c r="A64" s="48"/>
      <c r="B64" s="467"/>
      <c r="C64" s="475" t="str">
        <f>IF(E7=2002,"INCLUDING INTEGRAL SUPPLEMENTAL HEATING IN HEAT PUMPS WHERE THE CONTROLLER",IF(E7=2005,"COMPRESSOR.","FOUR SEPARATELY CONTROLLED UNITS."))</f>
        <v>FOUR SEPARATELY CONTROLLED UNITS.</v>
      </c>
      <c r="D64" s="478"/>
      <c r="E64" s="470"/>
      <c r="F64" s="470"/>
      <c r="G64" s="470"/>
      <c r="H64" s="470"/>
      <c r="I64" s="471"/>
      <c r="J64" s="45">
        <v>0</v>
      </c>
      <c r="K64" s="472"/>
      <c r="L64" s="48" t="str">
        <f>IF(O64&gt;0," &lt;&lt; ENTER KVA"," ")</f>
        <v xml:space="preserve"> </v>
      </c>
      <c r="M64" s="48"/>
      <c r="N64" s="48"/>
      <c r="O64" s="49">
        <f>IF(ISBLANK(J64)=TRUE,1,0)</f>
        <v>0</v>
      </c>
    </row>
    <row r="65" spans="1:15" ht="11.25" customHeight="1">
      <c r="A65" s="48"/>
      <c r="B65" s="467"/>
      <c r="C65" s="475" t="str">
        <f>IF(E7=2002,"PREVENTS THE COMPRESSOR AND SUPPLEMENTAL HEATING FROM OPERATING",IF(E7=2005,"","   NOTE: PROGRAM WILL AUTOMATICALLY ADJUST THIS AMOUNT TO 65%."))</f>
        <v xml:space="preserve">   NOTE: PROGRAM WILL AUTOMATICALLY ADJUST THIS AMOUNT TO 65%.</v>
      </c>
      <c r="D65" s="478"/>
      <c r="E65" s="470"/>
      <c r="F65" s="470"/>
      <c r="G65" s="470"/>
      <c r="H65" s="470"/>
      <c r="I65" s="471"/>
      <c r="J65" s="470"/>
      <c r="K65" s="472"/>
      <c r="L65" s="48"/>
      <c r="M65" s="48"/>
      <c r="N65" s="48"/>
    </row>
    <row r="66" spans="1:15" ht="11.25" customHeight="1">
      <c r="A66" s="48"/>
      <c r="B66" s="467"/>
      <c r="C66" s="469" t="str">
        <f>IF(E7=2002,"AT THE SAME TIME.",IF(E7=2005,"ENTER 100% OF THE SUPPLEMENTARY ELECTRIC HEAT USED WITH THE HEAT PUMP.",""))</f>
        <v/>
      </c>
      <c r="D66" s="478"/>
      <c r="E66" s="470"/>
      <c r="F66" s="470"/>
      <c r="G66" s="470"/>
      <c r="H66" s="470"/>
      <c r="I66" s="471"/>
      <c r="J66" s="476" t="str">
        <f>IF(E7=2005,"ENTER KVA","")</f>
        <v/>
      </c>
      <c r="K66" s="472"/>
      <c r="L66" s="48"/>
      <c r="M66" s="48"/>
      <c r="N66" s="48"/>
    </row>
    <row r="67" spans="1:15" ht="11.25" customHeight="1">
      <c r="A67" s="48"/>
      <c r="B67" s="467"/>
      <c r="C67" s="473" t="str">
        <f>IF(E7=2002,"   NOTE: PROGRAM WILL AUTOMATICALLY ADJUST THIS AMOUNT TO 65%.",IF(E7=2005,"   NOTE: PROGRAM WILL AUTOMATICALLY ADJUST THIS AMOUNT TO 65%.",""))</f>
        <v/>
      </c>
      <c r="D67" s="479"/>
      <c r="E67" s="463"/>
      <c r="F67" s="463"/>
      <c r="G67" s="463"/>
      <c r="H67" s="463"/>
      <c r="I67" s="474"/>
      <c r="J67" s="297">
        <v>0</v>
      </c>
      <c r="K67" s="464"/>
      <c r="L67" s="48" t="str">
        <f>IF(O67&gt;0," &lt;&lt; ENTER KVA"," ")</f>
        <v xml:space="preserve"> </v>
      </c>
      <c r="M67" s="48"/>
      <c r="N67" s="48"/>
      <c r="O67" s="49">
        <f>IF(E7&lt;&gt;2005,0,IF(ISBLANK(J67)=TRUE,1,IF(ISTEXT(J67)=TRUE,1,0)))</f>
        <v>0</v>
      </c>
    </row>
    <row r="68" spans="1:15" ht="11.25" customHeight="1">
      <c r="A68" s="48"/>
      <c r="B68" s="468"/>
      <c r="C68" s="48"/>
      <c r="D68" s="2"/>
      <c r="E68" s="48"/>
      <c r="F68" s="48"/>
      <c r="G68" s="48"/>
      <c r="H68" s="48"/>
      <c r="I68" s="293"/>
      <c r="J68" s="48"/>
      <c r="K68" s="293"/>
      <c r="L68" s="48"/>
      <c r="M68" s="48"/>
      <c r="N68" s="48"/>
    </row>
    <row r="69" spans="1:15" ht="11.25" customHeight="1">
      <c r="A69" s="48"/>
      <c r="B69" s="468"/>
      <c r="C69" s="48"/>
      <c r="D69" s="2"/>
      <c r="E69" s="48"/>
      <c r="F69" s="48"/>
      <c r="G69" s="48"/>
      <c r="H69" s="48"/>
      <c r="I69" s="293"/>
      <c r="J69" s="48"/>
      <c r="K69" s="293"/>
      <c r="L69" s="48"/>
      <c r="M69" s="48"/>
      <c r="N69" s="48"/>
    </row>
    <row r="70" spans="1:15" ht="11.25" customHeight="1">
      <c r="A70" s="48"/>
      <c r="B70" s="468" t="s">
        <v>596</v>
      </c>
      <c r="C70" s="465" t="str">
        <f>IF(E7=2005,"ENTER 100% OF THE NAMEPLATE RATING(S) OF ELECTRIC SPACE HEATING",IF(E7=2002,"ENTER 100% OF THE NAMEPLATE RATING(S) OF ELECTRIC SPACE HEATING","ENTER 100% OF THE NAMEPLATE RATING(S) OF ELECTRIC SPACE HEATING IF FOUR OR"))</f>
        <v>ENTER 100% OF THE NAMEPLATE RATING(S) OF ELECTRIC SPACE HEATING IF FOUR OR</v>
      </c>
      <c r="D70" s="477"/>
      <c r="E70" s="460"/>
      <c r="F70" s="460"/>
      <c r="G70" s="460"/>
      <c r="H70" s="460"/>
      <c r="I70" s="461"/>
      <c r="J70" s="462" t="s">
        <v>11</v>
      </c>
      <c r="K70" s="459"/>
      <c r="L70" s="48"/>
      <c r="M70" s="48"/>
      <c r="N70" s="48"/>
    </row>
    <row r="71" spans="1:15" ht="11.25" customHeight="1">
      <c r="A71" s="48"/>
      <c r="B71" s="468"/>
      <c r="C71" s="475" t="str">
        <f>IF(E7=2005,"IF LESS THAN FOUR SEPARATELY CONTROLLED UNITS.",IF(E7=2002,"IF LESS THAN FOUR SEPARATELY CONTROLLED UNITS.","MORE SEPARATELY CONTROLLED UNITS."))</f>
        <v>MORE SEPARATELY CONTROLLED UNITS.</v>
      </c>
      <c r="D71" s="478"/>
      <c r="E71" s="470"/>
      <c r="F71" s="470"/>
      <c r="G71" s="470"/>
      <c r="H71" s="470"/>
      <c r="I71" s="471"/>
      <c r="J71" s="45">
        <v>0</v>
      </c>
      <c r="K71" s="472"/>
      <c r="L71" s="48" t="str">
        <f>IF(O71&gt;0," &lt;&lt; ENTER KVA"," ")</f>
        <v xml:space="preserve"> </v>
      </c>
      <c r="M71" s="48"/>
      <c r="N71" s="48"/>
      <c r="O71" s="49">
        <f>IF(ISBLANK(J71)=TRUE,1,0)</f>
        <v>0</v>
      </c>
    </row>
    <row r="72" spans="1:15" ht="11.25" customHeight="1">
      <c r="A72" s="48"/>
      <c r="B72" s="468"/>
      <c r="C72" s="480" t="str">
        <f>IF(E7&lt;&gt;2008,"   NOTE: PROGRAM WILL AUTOMATICALLY ADJUST THIS AMOUNT TO 65%.","   NOTE: PROGRAM WILL AUTOMATICALLY ADJUST THIS AMOUNT TO 40%.")</f>
        <v xml:space="preserve">   NOTE: PROGRAM WILL AUTOMATICALLY ADJUST THIS AMOUNT TO 40%.</v>
      </c>
      <c r="D72" s="479"/>
      <c r="E72" s="463"/>
      <c r="F72" s="463"/>
      <c r="G72" s="463"/>
      <c r="H72" s="463"/>
      <c r="I72" s="474"/>
      <c r="J72" s="463"/>
      <c r="K72" s="464"/>
      <c r="L72" s="48"/>
      <c r="M72" s="48"/>
      <c r="N72" s="48"/>
    </row>
    <row r="73" spans="1:15" ht="11.25" customHeight="1">
      <c r="A73" s="48"/>
      <c r="B73" s="468"/>
      <c r="C73" s="48"/>
      <c r="D73" s="48"/>
      <c r="E73" s="48"/>
      <c r="F73" s="48"/>
      <c r="G73" s="48"/>
      <c r="H73" s="48"/>
      <c r="I73" s="293"/>
      <c r="J73" s="48"/>
      <c r="K73" s="293"/>
      <c r="L73" s="48"/>
      <c r="M73" s="48"/>
      <c r="N73" s="48"/>
    </row>
    <row r="74" spans="1:15" ht="11.25" customHeight="1">
      <c r="A74" s="48"/>
      <c r="B74" s="468" t="s">
        <v>597</v>
      </c>
      <c r="C74" s="465" t="str">
        <f>IF(E7&lt;&gt;2008,"ENTER 40% OF THE NAMEPLATE RATING(S) OF ELECTRIC SPACE HEATING","ENTER 100% OF THE NAMEPLATE RATING(S) OF ELECTRIC THERMAL STORAGE")</f>
        <v>ENTER 100% OF THE NAMEPLATE RATING(S) OF ELECTRIC THERMAL STORAGE</v>
      </c>
      <c r="D74" s="477"/>
      <c r="E74" s="460"/>
      <c r="F74" s="460"/>
      <c r="G74" s="460"/>
      <c r="H74" s="460"/>
      <c r="I74" s="461"/>
      <c r="J74" s="462" t="s">
        <v>11</v>
      </c>
      <c r="K74" s="459"/>
      <c r="L74" s="48"/>
      <c r="M74" s="48"/>
      <c r="N74" s="48"/>
    </row>
    <row r="75" spans="1:15" ht="11.25" customHeight="1">
      <c r="A75" s="48"/>
      <c r="B75" s="468"/>
      <c r="C75" s="475" t="str">
        <f>IF(E7&lt;&gt;2008,"IF FOUR OR MORE SEPARATELY CONTROLLED UNITS.","AND OTHER HEATING SYSTEMS WHERE THE USUAL LOAD IS EXPECTED TO BE CONTINUOUS")</f>
        <v>AND OTHER HEATING SYSTEMS WHERE THE USUAL LOAD IS EXPECTED TO BE CONTINUOUS</v>
      </c>
      <c r="D75" s="478"/>
      <c r="E75" s="470"/>
      <c r="F75" s="470"/>
      <c r="G75" s="470"/>
      <c r="H75" s="470"/>
      <c r="I75" s="471"/>
      <c r="J75" s="45">
        <v>0</v>
      </c>
      <c r="K75" s="472"/>
      <c r="L75" s="48" t="str">
        <f>IF(O75&gt;0," &lt;&lt; ENTER KVA"," ")</f>
        <v xml:space="preserve"> </v>
      </c>
      <c r="M75" s="48"/>
      <c r="N75" s="48"/>
      <c r="O75" s="49">
        <f>IF(ISBLANK(J75)=TRUE,1,0)</f>
        <v>0</v>
      </c>
    </row>
    <row r="76" spans="1:15" ht="11.25" customHeight="1">
      <c r="A76" s="48"/>
      <c r="B76" s="468"/>
      <c r="C76" s="475" t="str">
        <f>IF(E7&lt;&gt;2008,"   NOTE: PROGRAM WILL AUTOMATICALLY ADJUST THIS AMOUNT TO 40%.",IF(E7=2008,"AT THE FULL NAMEPLATE VALUE.  SYSTEMS QUALIFYING UNDER THIS SELECTION SHALL NOT",""))</f>
        <v>AT THE FULL NAMEPLATE VALUE.  SYSTEMS QUALIFYING UNDER THIS SELECTION SHALL NOT</v>
      </c>
      <c r="D76" s="478"/>
      <c r="E76" s="470"/>
      <c r="F76" s="470"/>
      <c r="G76" s="470"/>
      <c r="H76" s="470"/>
      <c r="I76" s="471"/>
      <c r="J76" s="482"/>
      <c r="K76" s="472"/>
      <c r="L76" s="48"/>
      <c r="M76" s="48"/>
      <c r="N76" s="48"/>
    </row>
    <row r="77" spans="1:15" ht="11.25" customHeight="1">
      <c r="A77" s="48"/>
      <c r="B77" s="48"/>
      <c r="C77" s="466" t="str">
        <f>IF(E7=2008,"BE CALCULATED UNDER ANY OTHER SELECTION IN 220.82(C).","")</f>
        <v>BE CALCULATED UNDER ANY OTHER SELECTION IN 220.82(C).</v>
      </c>
      <c r="D77" s="479"/>
      <c r="E77" s="463"/>
      <c r="F77" s="463"/>
      <c r="G77" s="463"/>
      <c r="H77" s="463"/>
      <c r="I77" s="474"/>
      <c r="J77" s="481"/>
      <c r="K77" s="464"/>
      <c r="L77" s="48"/>
      <c r="M77" s="48"/>
      <c r="N77" s="48"/>
    </row>
    <row r="78" spans="1:15" ht="11.25" customHeight="1">
      <c r="A78" s="48"/>
      <c r="B78" s="48"/>
      <c r="C78" s="2"/>
      <c r="D78" s="2"/>
      <c r="E78" s="48"/>
      <c r="F78" s="48"/>
      <c r="G78" s="48"/>
      <c r="H78" s="48"/>
      <c r="I78" s="293"/>
      <c r="J78" s="318"/>
      <c r="K78" s="293"/>
      <c r="L78" s="48"/>
      <c r="M78" s="48"/>
      <c r="N78" s="48"/>
    </row>
    <row r="79" spans="1:15" ht="11.25" customHeight="1">
      <c r="A79" s="48"/>
      <c r="B79" s="48"/>
      <c r="C79" s="48"/>
      <c r="D79" s="2"/>
      <c r="E79" s="48"/>
      <c r="F79" s="48"/>
      <c r="G79" s="48"/>
      <c r="H79" s="48"/>
      <c r="I79" s="293"/>
      <c r="J79" s="48"/>
      <c r="K79" s="293"/>
      <c r="L79" s="48"/>
      <c r="M79" s="48"/>
      <c r="N79" s="48"/>
      <c r="O79" s="49">
        <f>SUM(O5:O78)</f>
        <v>0</v>
      </c>
    </row>
    <row r="80" spans="1:15" ht="11.25" customHeight="1">
      <c r="A80" s="48"/>
      <c r="B80" s="52" t="s">
        <v>590</v>
      </c>
      <c r="C80" s="48"/>
      <c r="D80" s="3"/>
      <c r="E80" s="3"/>
      <c r="F80" s="4" t="s">
        <v>4</v>
      </c>
      <c r="G80" s="48"/>
      <c r="H80" s="294"/>
      <c r="I80" s="293"/>
      <c r="J80" s="48"/>
      <c r="K80" s="293"/>
      <c r="L80" s="48"/>
      <c r="M80" s="48"/>
      <c r="N80" s="48"/>
    </row>
    <row r="81" spans="1:18" ht="11.25" customHeight="1">
      <c r="A81" s="48"/>
      <c r="B81" s="48"/>
      <c r="C81" s="48"/>
      <c r="D81" s="3" t="s">
        <v>5</v>
      </c>
      <c r="E81" s="4" t="s">
        <v>6</v>
      </c>
      <c r="F81" s="4" t="s">
        <v>7</v>
      </c>
      <c r="G81" s="48"/>
      <c r="H81" s="294"/>
      <c r="I81" s="293"/>
      <c r="J81" s="48"/>
      <c r="K81" s="293"/>
      <c r="L81" s="48"/>
      <c r="M81" s="48"/>
      <c r="N81" s="48"/>
      <c r="P81" s="49">
        <f>IF(AND(ISBLANK(D82)=TRUE,OR(F82&gt;0,E82&gt;0)),1,0)</f>
        <v>0</v>
      </c>
      <c r="Q81" s="49">
        <f t="shared" ref="Q81:Q104" si="5">IF(AND(ISBLANK(D82)=TRUE,F82=0,E82=0),0,IF(AND(P81=0,E82=0),1,0))</f>
        <v>0</v>
      </c>
      <c r="R81" s="50">
        <f t="shared" ref="R81:R104" si="6">IF(AND(ISBLANK(D82)=TRUE,Q81=0,F82=0),0,IF(AND(P81=0,Q81=0,F82=0),1,0))</f>
        <v>0</v>
      </c>
    </row>
    <row r="82" spans="1:18" ht="11.25" customHeight="1">
      <c r="A82" s="48"/>
      <c r="B82" s="48"/>
      <c r="C82" s="48">
        <v>1</v>
      </c>
      <c r="D82" s="487" t="s">
        <v>630</v>
      </c>
      <c r="E82" s="484">
        <v>2</v>
      </c>
      <c r="F82" s="485">
        <v>9.5</v>
      </c>
      <c r="G82" s="48"/>
      <c r="H82" s="48" t="str">
        <f>IF(P81&gt;0,"&lt;&lt;&lt; ENTER DESCRIPTION",IF(Q81=1,"&lt;&lt;&lt; ENTER QTY",IF(R81=1,"&lt;&lt;&lt; ENTER AMPS.","")))</f>
        <v/>
      </c>
      <c r="I82" s="293"/>
      <c r="J82" s="48"/>
      <c r="K82" s="48"/>
      <c r="L82" s="48"/>
      <c r="M82" s="48"/>
      <c r="N82" s="48"/>
      <c r="O82" s="49">
        <f>P81+Q81</f>
        <v>0</v>
      </c>
      <c r="P82" s="49">
        <f t="shared" ref="P82:P104" si="7">IF(AND(ISBLANK(D83)=TRUE,OR(F83&gt;0,E83&gt;0)),1,0)</f>
        <v>0</v>
      </c>
      <c r="Q82" s="49">
        <f t="shared" si="5"/>
        <v>0</v>
      </c>
      <c r="R82" s="50">
        <f t="shared" si="6"/>
        <v>0</v>
      </c>
    </row>
    <row r="83" spans="1:18" ht="11.25" customHeight="1">
      <c r="A83" s="48"/>
      <c r="B83" s="48"/>
      <c r="C83" s="48">
        <v>2</v>
      </c>
      <c r="D83" s="487" t="s">
        <v>583</v>
      </c>
      <c r="E83" s="484">
        <v>1</v>
      </c>
      <c r="F83" s="485">
        <v>12</v>
      </c>
      <c r="G83" s="48"/>
      <c r="H83" s="48" t="str">
        <f t="shared" ref="H83:H104" si="8">IF(P82&gt;0,"&lt;&lt;&lt; ENTER DESCRIPTION",IF(Q82=1,"&lt;&lt;&lt; ENTER QTY",IF(R82=1,"&lt;&lt;&lt; ENTER AMPS.","")))</f>
        <v/>
      </c>
      <c r="I83" s="293"/>
      <c r="J83" s="48"/>
      <c r="K83" s="48"/>
      <c r="L83" s="48"/>
      <c r="M83" s="48"/>
      <c r="N83" s="48"/>
      <c r="O83" s="49">
        <f t="shared" ref="O83:O105" si="9">P82+Q82</f>
        <v>0</v>
      </c>
      <c r="P83" s="49">
        <f t="shared" si="7"/>
        <v>0</v>
      </c>
      <c r="Q83" s="49">
        <f t="shared" si="5"/>
        <v>0</v>
      </c>
      <c r="R83" s="50">
        <f t="shared" si="6"/>
        <v>0</v>
      </c>
    </row>
    <row r="84" spans="1:18" ht="11.25" customHeight="1">
      <c r="A84" s="48"/>
      <c r="B84" s="48"/>
      <c r="C84" s="48">
        <f t="shared" ref="C84:C105" si="10">C83+1</f>
        <v>3</v>
      </c>
      <c r="D84" s="487"/>
      <c r="E84" s="484"/>
      <c r="F84" s="485"/>
      <c r="G84" s="48"/>
      <c r="H84" s="48" t="str">
        <f t="shared" si="8"/>
        <v/>
      </c>
      <c r="I84" s="293"/>
      <c r="J84" s="48"/>
      <c r="K84" s="48"/>
      <c r="L84" s="48"/>
      <c r="M84" s="48"/>
      <c r="N84" s="48"/>
      <c r="O84" s="49">
        <f t="shared" si="9"/>
        <v>0</v>
      </c>
      <c r="P84" s="49">
        <f t="shared" si="7"/>
        <v>0</v>
      </c>
      <c r="Q84" s="49">
        <f t="shared" si="5"/>
        <v>0</v>
      </c>
      <c r="R84" s="50">
        <f t="shared" si="6"/>
        <v>0</v>
      </c>
    </row>
    <row r="85" spans="1:18" ht="11.25" customHeight="1">
      <c r="A85" s="48"/>
      <c r="B85" s="48"/>
      <c r="C85" s="48">
        <f t="shared" si="10"/>
        <v>4</v>
      </c>
      <c r="D85" s="487"/>
      <c r="E85" s="484"/>
      <c r="F85" s="485"/>
      <c r="G85" s="48"/>
      <c r="H85" s="48" t="str">
        <f t="shared" si="8"/>
        <v/>
      </c>
      <c r="I85" s="293"/>
      <c r="J85" s="48"/>
      <c r="K85" s="48"/>
      <c r="L85" s="48"/>
      <c r="M85" s="48"/>
      <c r="N85" s="48"/>
      <c r="O85" s="49">
        <f t="shared" si="9"/>
        <v>0</v>
      </c>
      <c r="P85" s="49">
        <f t="shared" si="7"/>
        <v>0</v>
      </c>
      <c r="Q85" s="49">
        <f t="shared" si="5"/>
        <v>0</v>
      </c>
      <c r="R85" s="50">
        <f t="shared" si="6"/>
        <v>0</v>
      </c>
    </row>
    <row r="86" spans="1:18" ht="11.25" customHeight="1">
      <c r="A86" s="48"/>
      <c r="B86" s="48"/>
      <c r="C86" s="48">
        <f t="shared" si="10"/>
        <v>5</v>
      </c>
      <c r="D86" s="487"/>
      <c r="E86" s="484"/>
      <c r="F86" s="485"/>
      <c r="G86" s="48"/>
      <c r="H86" s="48" t="str">
        <f t="shared" si="8"/>
        <v/>
      </c>
      <c r="I86" s="293"/>
      <c r="J86" s="48"/>
      <c r="K86" s="48"/>
      <c r="L86" s="48"/>
      <c r="M86" s="48"/>
      <c r="N86" s="48"/>
      <c r="O86" s="49">
        <f t="shared" si="9"/>
        <v>0</v>
      </c>
      <c r="P86" s="49">
        <f t="shared" si="7"/>
        <v>0</v>
      </c>
      <c r="Q86" s="49">
        <f t="shared" si="5"/>
        <v>0</v>
      </c>
      <c r="R86" s="50">
        <f t="shared" si="6"/>
        <v>0</v>
      </c>
    </row>
    <row r="87" spans="1:18" ht="11.25" customHeight="1">
      <c r="A87" s="48"/>
      <c r="B87" s="48"/>
      <c r="C87" s="48">
        <f t="shared" si="10"/>
        <v>6</v>
      </c>
      <c r="D87" s="487"/>
      <c r="E87" s="484"/>
      <c r="F87" s="485"/>
      <c r="G87" s="48"/>
      <c r="H87" s="48" t="str">
        <f t="shared" si="8"/>
        <v/>
      </c>
      <c r="I87" s="293"/>
      <c r="J87" s="48"/>
      <c r="K87" s="48"/>
      <c r="L87" s="48"/>
      <c r="M87" s="48"/>
      <c r="N87" s="48"/>
      <c r="O87" s="49">
        <f t="shared" si="9"/>
        <v>0</v>
      </c>
      <c r="P87" s="49">
        <f t="shared" si="7"/>
        <v>0</v>
      </c>
      <c r="Q87" s="49">
        <f t="shared" si="5"/>
        <v>0</v>
      </c>
      <c r="R87" s="50">
        <f t="shared" si="6"/>
        <v>0</v>
      </c>
    </row>
    <row r="88" spans="1:18" ht="11.25" customHeight="1">
      <c r="A88" s="48"/>
      <c r="B88" s="48"/>
      <c r="C88" s="48">
        <f t="shared" si="10"/>
        <v>7</v>
      </c>
      <c r="D88" s="487"/>
      <c r="E88" s="484"/>
      <c r="F88" s="485"/>
      <c r="G88" s="48"/>
      <c r="H88" s="48" t="str">
        <f t="shared" si="8"/>
        <v/>
      </c>
      <c r="I88" s="293"/>
      <c r="J88" s="48"/>
      <c r="K88" s="48"/>
      <c r="L88" s="48"/>
      <c r="M88" s="48"/>
      <c r="N88" s="48"/>
      <c r="O88" s="49">
        <f t="shared" si="9"/>
        <v>0</v>
      </c>
      <c r="P88" s="49">
        <f t="shared" si="7"/>
        <v>0</v>
      </c>
      <c r="Q88" s="49">
        <f t="shared" si="5"/>
        <v>0</v>
      </c>
      <c r="R88" s="50">
        <f t="shared" si="6"/>
        <v>0</v>
      </c>
    </row>
    <row r="89" spans="1:18" ht="11.25" customHeight="1">
      <c r="A89" s="48"/>
      <c r="B89" s="48"/>
      <c r="C89" s="48">
        <f t="shared" si="10"/>
        <v>8</v>
      </c>
      <c r="D89" s="46"/>
      <c r="E89" s="44"/>
      <c r="F89" s="45"/>
      <c r="G89" s="48"/>
      <c r="H89" s="48" t="str">
        <f t="shared" si="8"/>
        <v/>
      </c>
      <c r="I89" s="293"/>
      <c r="J89" s="48"/>
      <c r="K89" s="48"/>
      <c r="L89" s="48"/>
      <c r="M89" s="48"/>
      <c r="N89" s="48"/>
      <c r="O89" s="49">
        <f t="shared" si="9"/>
        <v>0</v>
      </c>
      <c r="P89" s="49">
        <f t="shared" si="7"/>
        <v>0</v>
      </c>
      <c r="Q89" s="49">
        <f t="shared" si="5"/>
        <v>0</v>
      </c>
      <c r="R89" s="50">
        <f t="shared" si="6"/>
        <v>0</v>
      </c>
    </row>
    <row r="90" spans="1:18" ht="11.25" customHeight="1">
      <c r="A90" s="48"/>
      <c r="B90" s="48"/>
      <c r="C90" s="48">
        <f t="shared" si="10"/>
        <v>9</v>
      </c>
      <c r="D90" s="46"/>
      <c r="E90" s="44"/>
      <c r="F90" s="45"/>
      <c r="G90" s="48"/>
      <c r="H90" s="48" t="str">
        <f t="shared" si="8"/>
        <v/>
      </c>
      <c r="I90" s="293"/>
      <c r="J90" s="48"/>
      <c r="K90" s="48"/>
      <c r="L90" s="48"/>
      <c r="M90" s="48"/>
      <c r="N90" s="48"/>
      <c r="O90" s="49">
        <f t="shared" si="9"/>
        <v>0</v>
      </c>
      <c r="P90" s="49">
        <f t="shared" si="7"/>
        <v>0</v>
      </c>
      <c r="Q90" s="49">
        <f t="shared" si="5"/>
        <v>0</v>
      </c>
      <c r="R90" s="50">
        <f t="shared" si="6"/>
        <v>0</v>
      </c>
    </row>
    <row r="91" spans="1:18" ht="11.25" customHeight="1">
      <c r="A91" s="48"/>
      <c r="B91" s="48"/>
      <c r="C91" s="48">
        <f t="shared" si="10"/>
        <v>10</v>
      </c>
      <c r="D91" s="46"/>
      <c r="E91" s="44"/>
      <c r="F91" s="45"/>
      <c r="G91" s="48"/>
      <c r="H91" s="48" t="str">
        <f t="shared" si="8"/>
        <v/>
      </c>
      <c r="I91" s="293"/>
      <c r="J91" s="48"/>
      <c r="K91" s="48"/>
      <c r="L91" s="48"/>
      <c r="M91" s="48"/>
      <c r="N91" s="48"/>
      <c r="O91" s="49">
        <f t="shared" si="9"/>
        <v>0</v>
      </c>
      <c r="P91" s="49">
        <f t="shared" si="7"/>
        <v>0</v>
      </c>
      <c r="Q91" s="49">
        <f t="shared" si="5"/>
        <v>0</v>
      </c>
      <c r="R91" s="50">
        <f t="shared" si="6"/>
        <v>0</v>
      </c>
    </row>
    <row r="92" spans="1:18" ht="11.25" customHeight="1">
      <c r="A92" s="48"/>
      <c r="B92" s="48"/>
      <c r="C92" s="48">
        <f t="shared" si="10"/>
        <v>11</v>
      </c>
      <c r="D92" s="46"/>
      <c r="E92" s="44"/>
      <c r="F92" s="45"/>
      <c r="G92" s="48"/>
      <c r="H92" s="48" t="str">
        <f t="shared" si="8"/>
        <v/>
      </c>
      <c r="I92" s="293"/>
      <c r="J92" s="48"/>
      <c r="K92" s="48"/>
      <c r="L92" s="48"/>
      <c r="M92" s="48"/>
      <c r="N92" s="48"/>
      <c r="O92" s="49">
        <f t="shared" si="9"/>
        <v>0</v>
      </c>
      <c r="P92" s="49">
        <f t="shared" si="7"/>
        <v>0</v>
      </c>
      <c r="Q92" s="49">
        <f t="shared" si="5"/>
        <v>0</v>
      </c>
      <c r="R92" s="50">
        <f t="shared" si="6"/>
        <v>0</v>
      </c>
    </row>
    <row r="93" spans="1:18" ht="11.25" customHeight="1">
      <c r="A93" s="48"/>
      <c r="B93" s="48"/>
      <c r="C93" s="48">
        <f t="shared" si="10"/>
        <v>12</v>
      </c>
      <c r="D93" s="46"/>
      <c r="E93" s="44"/>
      <c r="F93" s="45"/>
      <c r="G93" s="48"/>
      <c r="H93" s="48" t="str">
        <f t="shared" si="8"/>
        <v/>
      </c>
      <c r="I93" s="293"/>
      <c r="J93" s="48"/>
      <c r="K93" s="48"/>
      <c r="L93" s="48"/>
      <c r="M93" s="48"/>
      <c r="N93" s="48"/>
      <c r="O93" s="49">
        <f t="shared" si="9"/>
        <v>0</v>
      </c>
      <c r="P93" s="49">
        <f t="shared" si="7"/>
        <v>0</v>
      </c>
      <c r="Q93" s="49">
        <f t="shared" si="5"/>
        <v>0</v>
      </c>
      <c r="R93" s="50">
        <f t="shared" si="6"/>
        <v>0</v>
      </c>
    </row>
    <row r="94" spans="1:18" ht="11.25" customHeight="1">
      <c r="A94" s="48"/>
      <c r="B94" s="48"/>
      <c r="C94" s="48">
        <f t="shared" si="10"/>
        <v>13</v>
      </c>
      <c r="D94" s="46"/>
      <c r="E94" s="44"/>
      <c r="F94" s="45"/>
      <c r="G94" s="48"/>
      <c r="H94" s="48" t="str">
        <f t="shared" si="8"/>
        <v/>
      </c>
      <c r="I94" s="293"/>
      <c r="J94" s="48"/>
      <c r="K94" s="48"/>
      <c r="L94" s="48"/>
      <c r="M94" s="48"/>
      <c r="N94" s="48"/>
      <c r="O94" s="49">
        <f t="shared" si="9"/>
        <v>0</v>
      </c>
      <c r="P94" s="49">
        <f t="shared" si="7"/>
        <v>0</v>
      </c>
      <c r="Q94" s="49">
        <f t="shared" si="5"/>
        <v>0</v>
      </c>
      <c r="R94" s="50">
        <f t="shared" si="6"/>
        <v>0</v>
      </c>
    </row>
    <row r="95" spans="1:18" ht="11.25" customHeight="1">
      <c r="A95" s="48"/>
      <c r="B95" s="48"/>
      <c r="C95" s="48">
        <f t="shared" si="10"/>
        <v>14</v>
      </c>
      <c r="D95" s="46"/>
      <c r="E95" s="44"/>
      <c r="F95" s="45"/>
      <c r="G95" s="48"/>
      <c r="H95" s="48" t="str">
        <f t="shared" si="8"/>
        <v/>
      </c>
      <c r="I95" s="293"/>
      <c r="J95" s="48"/>
      <c r="K95" s="48"/>
      <c r="L95" s="48"/>
      <c r="M95" s="48"/>
      <c r="N95" s="48"/>
      <c r="O95" s="49">
        <f t="shared" si="9"/>
        <v>0</v>
      </c>
      <c r="P95" s="49">
        <f t="shared" si="7"/>
        <v>0</v>
      </c>
      <c r="Q95" s="49">
        <f t="shared" si="5"/>
        <v>0</v>
      </c>
      <c r="R95" s="50">
        <f t="shared" si="6"/>
        <v>0</v>
      </c>
    </row>
    <row r="96" spans="1:18" ht="11.25" customHeight="1">
      <c r="A96" s="48"/>
      <c r="B96" s="48"/>
      <c r="C96" s="48">
        <f t="shared" si="10"/>
        <v>15</v>
      </c>
      <c r="D96" s="46"/>
      <c r="E96" s="44"/>
      <c r="F96" s="45"/>
      <c r="G96" s="48"/>
      <c r="H96" s="48" t="str">
        <f t="shared" si="8"/>
        <v/>
      </c>
      <c r="I96" s="293"/>
      <c r="J96" s="48"/>
      <c r="K96" s="48"/>
      <c r="L96" s="48"/>
      <c r="M96" s="48"/>
      <c r="N96" s="48"/>
      <c r="O96" s="49">
        <f t="shared" si="9"/>
        <v>0</v>
      </c>
      <c r="P96" s="49">
        <f t="shared" si="7"/>
        <v>0</v>
      </c>
      <c r="Q96" s="49">
        <f t="shared" si="5"/>
        <v>0</v>
      </c>
      <c r="R96" s="50">
        <f t="shared" si="6"/>
        <v>0</v>
      </c>
    </row>
    <row r="97" spans="1:19" ht="11.25" customHeight="1">
      <c r="A97" s="48"/>
      <c r="B97" s="48"/>
      <c r="C97" s="48">
        <f t="shared" si="10"/>
        <v>16</v>
      </c>
      <c r="D97" s="46"/>
      <c r="E97" s="44"/>
      <c r="F97" s="45"/>
      <c r="G97" s="48"/>
      <c r="H97" s="48" t="str">
        <f t="shared" si="8"/>
        <v/>
      </c>
      <c r="I97" s="293"/>
      <c r="J97" s="48"/>
      <c r="K97" s="48"/>
      <c r="L97" s="48"/>
      <c r="M97" s="48"/>
      <c r="N97" s="48"/>
      <c r="O97" s="49">
        <f t="shared" si="9"/>
        <v>0</v>
      </c>
      <c r="P97" s="49">
        <f t="shared" si="7"/>
        <v>0</v>
      </c>
      <c r="Q97" s="49">
        <f t="shared" si="5"/>
        <v>0</v>
      </c>
      <c r="R97" s="50">
        <f t="shared" si="6"/>
        <v>0</v>
      </c>
    </row>
    <row r="98" spans="1:19" ht="11.25" customHeight="1">
      <c r="A98" s="48"/>
      <c r="B98" s="48"/>
      <c r="C98" s="48">
        <f t="shared" si="10"/>
        <v>17</v>
      </c>
      <c r="D98" s="46"/>
      <c r="E98" s="44"/>
      <c r="F98" s="45"/>
      <c r="G98" s="48"/>
      <c r="H98" s="48" t="str">
        <f t="shared" si="8"/>
        <v/>
      </c>
      <c r="I98" s="293"/>
      <c r="J98" s="48"/>
      <c r="K98" s="48"/>
      <c r="L98" s="48"/>
      <c r="M98" s="48"/>
      <c r="N98" s="48"/>
      <c r="O98" s="49">
        <f t="shared" si="9"/>
        <v>0</v>
      </c>
      <c r="P98" s="49">
        <f t="shared" si="7"/>
        <v>0</v>
      </c>
      <c r="Q98" s="49">
        <f t="shared" si="5"/>
        <v>0</v>
      </c>
      <c r="R98" s="50">
        <f t="shared" si="6"/>
        <v>0</v>
      </c>
    </row>
    <row r="99" spans="1:19" ht="11.25" customHeight="1">
      <c r="A99" s="48"/>
      <c r="B99" s="48"/>
      <c r="C99" s="48">
        <f t="shared" si="10"/>
        <v>18</v>
      </c>
      <c r="D99" s="46"/>
      <c r="E99" s="44"/>
      <c r="F99" s="45"/>
      <c r="G99" s="48"/>
      <c r="H99" s="48" t="str">
        <f t="shared" si="8"/>
        <v/>
      </c>
      <c r="I99" s="293"/>
      <c r="J99" s="48"/>
      <c r="K99" s="48"/>
      <c r="L99" s="48"/>
      <c r="M99" s="48"/>
      <c r="N99" s="48"/>
      <c r="O99" s="49">
        <f t="shared" si="9"/>
        <v>0</v>
      </c>
      <c r="P99" s="49">
        <f t="shared" si="7"/>
        <v>0</v>
      </c>
      <c r="Q99" s="49">
        <f t="shared" si="5"/>
        <v>0</v>
      </c>
      <c r="R99" s="50">
        <f t="shared" si="6"/>
        <v>0</v>
      </c>
    </row>
    <row r="100" spans="1:19" ht="11.25" customHeight="1">
      <c r="A100" s="48"/>
      <c r="B100" s="48"/>
      <c r="C100" s="48">
        <f t="shared" si="10"/>
        <v>19</v>
      </c>
      <c r="D100" s="46"/>
      <c r="E100" s="44"/>
      <c r="F100" s="45"/>
      <c r="G100" s="48"/>
      <c r="H100" s="48" t="str">
        <f t="shared" si="8"/>
        <v/>
      </c>
      <c r="I100" s="293"/>
      <c r="J100" s="48"/>
      <c r="K100" s="48"/>
      <c r="L100" s="48"/>
      <c r="M100" s="48"/>
      <c r="N100" s="48"/>
      <c r="O100" s="49">
        <f t="shared" si="9"/>
        <v>0</v>
      </c>
      <c r="P100" s="49">
        <f t="shared" si="7"/>
        <v>0</v>
      </c>
      <c r="Q100" s="49">
        <f t="shared" si="5"/>
        <v>0</v>
      </c>
      <c r="R100" s="50">
        <f t="shared" si="6"/>
        <v>0</v>
      </c>
    </row>
    <row r="101" spans="1:19" ht="11.25" customHeight="1">
      <c r="A101" s="48"/>
      <c r="B101" s="48"/>
      <c r="C101" s="48">
        <f t="shared" si="10"/>
        <v>20</v>
      </c>
      <c r="D101" s="46"/>
      <c r="E101" s="44"/>
      <c r="F101" s="45"/>
      <c r="G101" s="48"/>
      <c r="H101" s="48" t="str">
        <f t="shared" si="8"/>
        <v/>
      </c>
      <c r="I101" s="293"/>
      <c r="J101" s="48"/>
      <c r="K101" s="48"/>
      <c r="L101" s="48"/>
      <c r="M101" s="48"/>
      <c r="N101" s="48"/>
      <c r="O101" s="49">
        <f t="shared" si="9"/>
        <v>0</v>
      </c>
      <c r="P101" s="49">
        <f t="shared" si="7"/>
        <v>0</v>
      </c>
      <c r="Q101" s="49">
        <f t="shared" si="5"/>
        <v>0</v>
      </c>
      <c r="R101" s="50">
        <f t="shared" si="6"/>
        <v>0</v>
      </c>
    </row>
    <row r="102" spans="1:19" ht="11.25" customHeight="1">
      <c r="A102" s="48"/>
      <c r="B102" s="48"/>
      <c r="C102" s="48">
        <f t="shared" si="10"/>
        <v>21</v>
      </c>
      <c r="D102" s="46"/>
      <c r="E102" s="44"/>
      <c r="F102" s="45"/>
      <c r="G102" s="48"/>
      <c r="H102" s="48" t="str">
        <f t="shared" si="8"/>
        <v/>
      </c>
      <c r="I102" s="293"/>
      <c r="J102" s="48"/>
      <c r="K102" s="48"/>
      <c r="L102" s="48"/>
      <c r="M102" s="48"/>
      <c r="N102" s="48"/>
      <c r="O102" s="49">
        <f t="shared" si="9"/>
        <v>0</v>
      </c>
      <c r="P102" s="49">
        <f t="shared" si="7"/>
        <v>0</v>
      </c>
      <c r="Q102" s="49">
        <f t="shared" si="5"/>
        <v>0</v>
      </c>
      <c r="R102" s="50">
        <f t="shared" si="6"/>
        <v>0</v>
      </c>
    </row>
    <row r="103" spans="1:19" ht="11.25" customHeight="1">
      <c r="A103" s="48"/>
      <c r="B103" s="48"/>
      <c r="C103" s="48">
        <f t="shared" si="10"/>
        <v>22</v>
      </c>
      <c r="D103" s="46"/>
      <c r="E103" s="44"/>
      <c r="F103" s="45"/>
      <c r="G103" s="48"/>
      <c r="H103" s="48" t="str">
        <f t="shared" si="8"/>
        <v/>
      </c>
      <c r="I103" s="293"/>
      <c r="J103" s="48"/>
      <c r="K103" s="48"/>
      <c r="L103" s="48"/>
      <c r="M103" s="48"/>
      <c r="N103" s="48"/>
      <c r="O103" s="49">
        <f t="shared" si="9"/>
        <v>0</v>
      </c>
      <c r="P103" s="49">
        <f t="shared" si="7"/>
        <v>0</v>
      </c>
      <c r="Q103" s="49">
        <f t="shared" si="5"/>
        <v>0</v>
      </c>
      <c r="R103" s="50">
        <f t="shared" si="6"/>
        <v>0</v>
      </c>
    </row>
    <row r="104" spans="1:19" ht="11.25" customHeight="1">
      <c r="A104" s="48"/>
      <c r="B104" s="48"/>
      <c r="C104" s="48">
        <f t="shared" si="10"/>
        <v>23</v>
      </c>
      <c r="D104" s="46"/>
      <c r="E104" s="44"/>
      <c r="F104" s="45"/>
      <c r="G104" s="48"/>
      <c r="H104" s="48" t="str">
        <f t="shared" si="8"/>
        <v/>
      </c>
      <c r="I104" s="293"/>
      <c r="J104" s="48"/>
      <c r="K104" s="48"/>
      <c r="L104" s="48"/>
      <c r="M104" s="48"/>
      <c r="N104" s="48"/>
      <c r="O104" s="49">
        <f t="shared" si="9"/>
        <v>0</v>
      </c>
      <c r="P104" s="49">
        <f t="shared" si="7"/>
        <v>0</v>
      </c>
      <c r="Q104" s="49">
        <f t="shared" si="5"/>
        <v>0</v>
      </c>
      <c r="R104" s="50">
        <f t="shared" si="6"/>
        <v>0</v>
      </c>
    </row>
    <row r="105" spans="1:19" ht="11.25" customHeight="1">
      <c r="A105" s="48"/>
      <c r="B105" s="48"/>
      <c r="C105" s="48">
        <f t="shared" si="10"/>
        <v>24</v>
      </c>
      <c r="D105" s="46"/>
      <c r="E105" s="44"/>
      <c r="F105" s="45"/>
      <c r="G105" s="48"/>
      <c r="H105" s="48" t="str">
        <f>IF(P104&gt;0,"&lt;&lt;&lt; ENTER DESCRIPTION",IF(Q104=1,"&lt;&lt;&lt; ENTER QTY",IF(R104=1,"&lt;&lt;&lt; ENTER AMPS.","")))</f>
        <v/>
      </c>
      <c r="I105" s="293"/>
      <c r="J105" s="48"/>
      <c r="K105" s="48"/>
      <c r="L105" s="48"/>
      <c r="M105" s="48"/>
      <c r="N105" s="48"/>
      <c r="O105" s="49">
        <f t="shared" si="9"/>
        <v>0</v>
      </c>
    </row>
    <row r="106" spans="1:19" ht="11.25" customHeight="1">
      <c r="A106" s="48"/>
      <c r="B106" s="48"/>
      <c r="C106" s="48"/>
      <c r="D106" s="48"/>
      <c r="E106" s="48"/>
      <c r="F106" s="48"/>
      <c r="G106" s="48"/>
      <c r="H106" s="48"/>
      <c r="I106" s="293"/>
      <c r="J106" s="48"/>
      <c r="K106" s="293"/>
      <c r="L106" s="48"/>
      <c r="M106" s="48"/>
      <c r="N106" s="48"/>
    </row>
    <row r="107" spans="1:19" ht="11.25" customHeight="1">
      <c r="A107" s="48"/>
      <c r="B107" s="52" t="s">
        <v>591</v>
      </c>
      <c r="C107" s="48"/>
      <c r="D107" s="3"/>
      <c r="E107" s="3"/>
      <c r="F107" s="4" t="s">
        <v>4</v>
      </c>
      <c r="G107" s="48"/>
      <c r="H107" s="48"/>
      <c r="I107" s="293"/>
      <c r="J107" s="48"/>
      <c r="K107" s="48"/>
      <c r="L107" s="48"/>
      <c r="M107" s="48"/>
      <c r="N107" s="48"/>
    </row>
    <row r="108" spans="1:19" ht="11.25" customHeight="1">
      <c r="A108" s="48"/>
      <c r="B108" s="48"/>
      <c r="C108" s="48"/>
      <c r="D108" s="3" t="s">
        <v>5</v>
      </c>
      <c r="E108" s="4" t="s">
        <v>6</v>
      </c>
      <c r="F108" s="4" t="s">
        <v>7</v>
      </c>
      <c r="G108" s="48"/>
      <c r="H108" s="48" t="str">
        <f>IF(J9=1," ","PHASE")</f>
        <v xml:space="preserve"> </v>
      </c>
      <c r="I108" s="293"/>
      <c r="J108" s="48"/>
      <c r="K108" s="48"/>
      <c r="L108" s="48"/>
      <c r="M108" s="48"/>
      <c r="N108" s="48"/>
      <c r="P108" s="49">
        <f>IF(AND(ISBLANK(D109)=TRUE,OR(F109&gt;0,E109&gt;0)),1,0)</f>
        <v>0</v>
      </c>
      <c r="Q108" s="49">
        <f t="shared" ref="Q108:Q117" si="11">IF(AND(ISBLANK(D109)=TRUE,F109=0,E109=0),0,IF(AND(P108=0,E109=0),1,0))</f>
        <v>0</v>
      </c>
      <c r="R108" s="50">
        <f t="shared" ref="R108:R117" si="12">IF(AND(ISBLANK(D109)=TRUE,Q108=0,F109=0),0,IF(AND(P108=0,Q108=0,F109=0),1,0))</f>
        <v>0</v>
      </c>
      <c r="S108" s="50">
        <f>IF(SUM(P108:R108)=0,IF($J$9=1,0,IF(Q108&gt;0,0,IF(R108&gt;0,0,IF(AND(E109&gt;0,ISBLANK(H109)=TRUE),1,IF(AND(J$9=1,H109="3Y"),22,0))))),0)</f>
        <v>0</v>
      </c>
    </row>
    <row r="109" spans="1:19" ht="11.25" customHeight="1">
      <c r="A109" s="48"/>
      <c r="B109" s="48"/>
      <c r="C109" s="48">
        <v>1</v>
      </c>
      <c r="D109" s="487" t="s">
        <v>631</v>
      </c>
      <c r="E109" s="484">
        <v>2</v>
      </c>
      <c r="F109" s="485">
        <v>21</v>
      </c>
      <c r="G109" s="48"/>
      <c r="H109" s="297" t="s">
        <v>75</v>
      </c>
      <c r="I109" s="293"/>
      <c r="J109" s="48" t="str">
        <f>IF(Q108=1,"&lt;&lt;&lt; ENTER QTY",IF(P108=1,"&lt;&lt;&lt; ENTER DESCRIPTION.",IF(S108=22," &lt;&lt;&lt; ENTER 1-PHASE",IF(R108&gt;0,"&lt;&lt;&lt; ENTER AMPS",IF(S108&gt;0,"&lt;&lt;&lt; SELECT PHASE"," ")))))</f>
        <v xml:space="preserve"> </v>
      </c>
      <c r="K109" s="48"/>
      <c r="L109" s="48"/>
      <c r="M109" s="48"/>
      <c r="N109" s="48"/>
      <c r="O109" s="49">
        <f>SUM(P108:S108)</f>
        <v>0</v>
      </c>
      <c r="P109" s="49">
        <f t="shared" ref="P109:P117" si="13">IF(AND(ISBLANK(D110)=TRUE,OR(F110&gt;0,E110&gt;0)),1,0)</f>
        <v>0</v>
      </c>
      <c r="Q109" s="49">
        <f t="shared" si="11"/>
        <v>0</v>
      </c>
      <c r="R109" s="50">
        <f t="shared" si="12"/>
        <v>0</v>
      </c>
      <c r="S109" s="50">
        <f t="shared" ref="S109:S117" si="14">IF($J$9=1,0,IF(Q109&gt;0,0,IF(R109&gt;0,0,IF(AND(E110&gt;0,ISBLANK(H110)=TRUE),1,IF(AND(J$9=1,H110="3Y"),22,0)))))</f>
        <v>0</v>
      </c>
    </row>
    <row r="110" spans="1:19" ht="11.25" customHeight="1">
      <c r="A110" s="48"/>
      <c r="B110" s="48"/>
      <c r="C110" s="48">
        <v>2</v>
      </c>
      <c r="D110" s="487"/>
      <c r="E110" s="484"/>
      <c r="F110" s="485"/>
      <c r="G110" s="48"/>
      <c r="H110" s="297" t="s">
        <v>75</v>
      </c>
      <c r="I110" s="293"/>
      <c r="J110" s="48" t="str">
        <f t="shared" ref="J110:J118" si="15">IF(Q109=1,"&lt;&lt;&lt; ENTER AMPS",IF(P109=1,"&lt;&lt;&lt; ENTER QTY.",IF(S109=22," &lt;&lt;&lt; ENTER 1-PHASE",IF(R109&gt;0,"&lt;&lt;&lt; SELECT YES or NO",IF(S109&gt;0,"&lt;&lt;&lt; SELECT PHASE"," ")))))</f>
        <v xml:space="preserve"> </v>
      </c>
      <c r="K110" s="48"/>
      <c r="L110" s="48"/>
      <c r="M110" s="48"/>
      <c r="N110" s="48"/>
      <c r="O110" s="49">
        <f t="shared" ref="O110:O118" si="16">SUM(P109:S109)</f>
        <v>0</v>
      </c>
      <c r="P110" s="49">
        <f t="shared" si="13"/>
        <v>0</v>
      </c>
      <c r="Q110" s="49">
        <f t="shared" si="11"/>
        <v>0</v>
      </c>
      <c r="R110" s="50">
        <f t="shared" si="12"/>
        <v>0</v>
      </c>
      <c r="S110" s="50">
        <f t="shared" si="14"/>
        <v>0</v>
      </c>
    </row>
    <row r="111" spans="1:19" ht="11.25" customHeight="1">
      <c r="A111" s="48"/>
      <c r="B111" s="48"/>
      <c r="C111" s="48">
        <f t="shared" ref="C111:C118" si="17">C110+1</f>
        <v>3</v>
      </c>
      <c r="D111" s="487"/>
      <c r="E111" s="484"/>
      <c r="F111" s="485"/>
      <c r="G111" s="48"/>
      <c r="H111" s="297" t="s">
        <v>75</v>
      </c>
      <c r="I111" s="293"/>
      <c r="J111" s="48" t="str">
        <f t="shared" si="15"/>
        <v xml:space="preserve"> </v>
      </c>
      <c r="K111" s="48"/>
      <c r="L111" s="48"/>
      <c r="M111" s="48"/>
      <c r="N111" s="48"/>
      <c r="O111" s="49">
        <f t="shared" si="16"/>
        <v>0</v>
      </c>
      <c r="P111" s="49">
        <f t="shared" si="13"/>
        <v>0</v>
      </c>
      <c r="Q111" s="49">
        <f t="shared" si="11"/>
        <v>0</v>
      </c>
      <c r="R111" s="50">
        <f t="shared" si="12"/>
        <v>0</v>
      </c>
      <c r="S111" s="50">
        <f t="shared" si="14"/>
        <v>0</v>
      </c>
    </row>
    <row r="112" spans="1:19" ht="11.25" customHeight="1">
      <c r="A112" s="48"/>
      <c r="B112" s="48"/>
      <c r="C112" s="48">
        <f t="shared" si="17"/>
        <v>4</v>
      </c>
      <c r="D112" s="487"/>
      <c r="E112" s="484"/>
      <c r="F112" s="485"/>
      <c r="G112" s="48"/>
      <c r="H112" s="297" t="s">
        <v>75</v>
      </c>
      <c r="I112" s="293"/>
      <c r="J112" s="48" t="str">
        <f t="shared" si="15"/>
        <v xml:space="preserve"> </v>
      </c>
      <c r="K112" s="48"/>
      <c r="L112" s="48"/>
      <c r="M112" s="48"/>
      <c r="N112" s="48"/>
      <c r="O112" s="49">
        <f t="shared" si="16"/>
        <v>0</v>
      </c>
      <c r="P112" s="49">
        <f t="shared" si="13"/>
        <v>0</v>
      </c>
      <c r="Q112" s="49">
        <f t="shared" si="11"/>
        <v>0</v>
      </c>
      <c r="R112" s="50">
        <f t="shared" si="12"/>
        <v>0</v>
      </c>
      <c r="S112" s="50">
        <f t="shared" si="14"/>
        <v>0</v>
      </c>
    </row>
    <row r="113" spans="1:19" ht="11.25" customHeight="1">
      <c r="A113" s="48"/>
      <c r="B113" s="48"/>
      <c r="C113" s="48">
        <f t="shared" si="17"/>
        <v>5</v>
      </c>
      <c r="D113" s="487"/>
      <c r="E113" s="484"/>
      <c r="F113" s="485"/>
      <c r="G113" s="48"/>
      <c r="H113" s="297" t="s">
        <v>75</v>
      </c>
      <c r="I113" s="293"/>
      <c r="J113" s="48" t="str">
        <f t="shared" si="15"/>
        <v xml:space="preserve"> </v>
      </c>
      <c r="K113" s="48"/>
      <c r="L113" s="48"/>
      <c r="M113" s="48"/>
      <c r="N113" s="48"/>
      <c r="O113" s="49">
        <f t="shared" si="16"/>
        <v>0</v>
      </c>
      <c r="P113" s="49">
        <f t="shared" si="13"/>
        <v>0</v>
      </c>
      <c r="Q113" s="49">
        <f t="shared" si="11"/>
        <v>0</v>
      </c>
      <c r="R113" s="50">
        <f t="shared" si="12"/>
        <v>0</v>
      </c>
      <c r="S113" s="50">
        <f t="shared" si="14"/>
        <v>0</v>
      </c>
    </row>
    <row r="114" spans="1:19" ht="11.25" customHeight="1">
      <c r="A114" s="48"/>
      <c r="B114" s="48"/>
      <c r="C114" s="48">
        <f t="shared" si="17"/>
        <v>6</v>
      </c>
      <c r="D114" s="487"/>
      <c r="E114" s="484"/>
      <c r="F114" s="485"/>
      <c r="G114" s="48"/>
      <c r="H114" s="297" t="s">
        <v>75</v>
      </c>
      <c r="I114" s="293"/>
      <c r="J114" s="48" t="str">
        <f t="shared" si="15"/>
        <v xml:space="preserve"> </v>
      </c>
      <c r="K114" s="48"/>
      <c r="L114" s="48"/>
      <c r="M114" s="48"/>
      <c r="N114" s="48"/>
      <c r="O114" s="49">
        <f t="shared" si="16"/>
        <v>0</v>
      </c>
      <c r="P114" s="49">
        <f t="shared" si="13"/>
        <v>0</v>
      </c>
      <c r="Q114" s="49">
        <f t="shared" si="11"/>
        <v>0</v>
      </c>
      <c r="R114" s="50">
        <f t="shared" si="12"/>
        <v>0</v>
      </c>
      <c r="S114" s="50">
        <f t="shared" si="14"/>
        <v>0</v>
      </c>
    </row>
    <row r="115" spans="1:19" ht="11.25" customHeight="1">
      <c r="A115" s="48"/>
      <c r="B115" s="48"/>
      <c r="C115" s="48">
        <f t="shared" si="17"/>
        <v>7</v>
      </c>
      <c r="D115" s="487"/>
      <c r="E115" s="484"/>
      <c r="F115" s="485"/>
      <c r="G115" s="48"/>
      <c r="H115" s="297" t="s">
        <v>75</v>
      </c>
      <c r="I115" s="293"/>
      <c r="J115" s="48" t="str">
        <f t="shared" si="15"/>
        <v xml:space="preserve"> </v>
      </c>
      <c r="K115" s="48"/>
      <c r="L115" s="48"/>
      <c r="M115" s="48"/>
      <c r="N115" s="48"/>
      <c r="O115" s="49">
        <f t="shared" si="16"/>
        <v>0</v>
      </c>
      <c r="P115" s="49">
        <f t="shared" si="13"/>
        <v>0</v>
      </c>
      <c r="Q115" s="49">
        <f t="shared" si="11"/>
        <v>0</v>
      </c>
      <c r="R115" s="50">
        <f t="shared" si="12"/>
        <v>0</v>
      </c>
      <c r="S115" s="50">
        <f t="shared" si="14"/>
        <v>0</v>
      </c>
    </row>
    <row r="116" spans="1:19" ht="11.25" customHeight="1">
      <c r="A116" s="48"/>
      <c r="B116" s="48"/>
      <c r="C116" s="48">
        <f t="shared" si="17"/>
        <v>8</v>
      </c>
      <c r="D116" s="46"/>
      <c r="E116" s="44"/>
      <c r="F116" s="45"/>
      <c r="G116" s="48"/>
      <c r="H116" s="297" t="s">
        <v>75</v>
      </c>
      <c r="I116" s="293"/>
      <c r="J116" s="48" t="str">
        <f t="shared" si="15"/>
        <v xml:space="preserve"> </v>
      </c>
      <c r="K116" s="48"/>
      <c r="L116" s="48"/>
      <c r="M116" s="48"/>
      <c r="N116" s="48"/>
      <c r="O116" s="49">
        <f t="shared" si="16"/>
        <v>0</v>
      </c>
      <c r="P116" s="49">
        <f t="shared" si="13"/>
        <v>0</v>
      </c>
      <c r="Q116" s="49">
        <f t="shared" si="11"/>
        <v>0</v>
      </c>
      <c r="R116" s="50">
        <f t="shared" si="12"/>
        <v>0</v>
      </c>
      <c r="S116" s="50">
        <f t="shared" si="14"/>
        <v>0</v>
      </c>
    </row>
    <row r="117" spans="1:19" ht="11.25" customHeight="1">
      <c r="A117" s="48"/>
      <c r="B117" s="48"/>
      <c r="C117" s="48">
        <f t="shared" si="17"/>
        <v>9</v>
      </c>
      <c r="D117" s="46"/>
      <c r="E117" s="44"/>
      <c r="F117" s="45"/>
      <c r="G117" s="48"/>
      <c r="H117" s="297" t="s">
        <v>75</v>
      </c>
      <c r="I117" s="293"/>
      <c r="J117" s="48" t="str">
        <f t="shared" si="15"/>
        <v xml:space="preserve"> </v>
      </c>
      <c r="K117" s="48"/>
      <c r="L117" s="48"/>
      <c r="M117" s="48"/>
      <c r="N117" s="48"/>
      <c r="O117" s="49">
        <f t="shared" si="16"/>
        <v>0</v>
      </c>
      <c r="P117" s="49">
        <f t="shared" si="13"/>
        <v>0</v>
      </c>
      <c r="Q117" s="49">
        <f t="shared" si="11"/>
        <v>0</v>
      </c>
      <c r="R117" s="50">
        <f t="shared" si="12"/>
        <v>0</v>
      </c>
      <c r="S117" s="50">
        <f t="shared" si="14"/>
        <v>0</v>
      </c>
    </row>
    <row r="118" spans="1:19" ht="11.25" customHeight="1">
      <c r="A118" s="48"/>
      <c r="B118" s="48"/>
      <c r="C118" s="48">
        <f t="shared" si="17"/>
        <v>10</v>
      </c>
      <c r="D118" s="46"/>
      <c r="E118" s="44"/>
      <c r="F118" s="45"/>
      <c r="G118" s="48"/>
      <c r="H118" s="297" t="s">
        <v>75</v>
      </c>
      <c r="I118" s="293"/>
      <c r="J118" s="48" t="str">
        <f t="shared" si="15"/>
        <v xml:space="preserve"> </v>
      </c>
      <c r="K118" s="48"/>
      <c r="L118" s="48"/>
      <c r="M118" s="48"/>
      <c r="N118" s="48"/>
      <c r="O118" s="49">
        <f t="shared" si="16"/>
        <v>0</v>
      </c>
    </row>
    <row r="119" spans="1:19" ht="11.25" customHeight="1">
      <c r="A119" s="48"/>
      <c r="B119" s="48"/>
      <c r="C119" s="48"/>
      <c r="D119" s="48"/>
      <c r="E119" s="48"/>
      <c r="F119" s="48"/>
      <c r="G119" s="48"/>
      <c r="H119" s="48"/>
      <c r="I119" s="293"/>
      <c r="J119" s="48"/>
      <c r="K119" s="293"/>
      <c r="L119" s="48"/>
      <c r="M119" s="48"/>
      <c r="N119" s="48"/>
    </row>
    <row r="120" spans="1:19" ht="11.25" customHeight="1">
      <c r="A120" s="48"/>
      <c r="B120" s="5" t="s">
        <v>635</v>
      </c>
      <c r="C120" s="48"/>
      <c r="D120" s="5"/>
      <c r="E120" s="48"/>
      <c r="F120" s="48"/>
      <c r="G120" s="48"/>
      <c r="H120" s="48"/>
      <c r="I120" s="293"/>
      <c r="J120" s="48"/>
      <c r="K120" s="293"/>
      <c r="L120" s="48"/>
      <c r="M120" s="48"/>
      <c r="N120" s="48"/>
    </row>
    <row r="121" spans="1:19" ht="14.1" customHeight="1">
      <c r="A121" s="48"/>
      <c r="B121" s="48"/>
      <c r="C121" s="48"/>
      <c r="D121" s="48"/>
      <c r="E121" s="48"/>
      <c r="F121" s="48"/>
      <c r="G121" s="48"/>
      <c r="H121" s="48"/>
      <c r="I121" s="293"/>
      <c r="J121" s="48"/>
      <c r="K121" s="293"/>
      <c r="L121" s="48"/>
      <c r="M121" s="48"/>
      <c r="N121" s="48"/>
      <c r="O121" s="49">
        <f>SUM(O79:S119)</f>
        <v>0</v>
      </c>
    </row>
    <row r="122" spans="1:19" ht="14.1" hidden="1" customHeight="1"/>
    <row r="123" spans="1:19" ht="14.1" hidden="1" customHeight="1"/>
    <row r="124" spans="1:19" ht="14.1" hidden="1" customHeight="1"/>
    <row r="125" spans="1:19" ht="14.1" hidden="1" customHeight="1"/>
    <row r="126" spans="1:19" ht="14.1" hidden="1" customHeight="1"/>
    <row r="127" spans="1:19" ht="14.1" hidden="1" customHeight="1"/>
    <row r="128" spans="1:19" ht="14.1" hidden="1" customHeight="1"/>
    <row r="129" ht="14.1" hidden="1" customHeight="1"/>
    <row r="130" ht="14.1" hidden="1" customHeight="1"/>
    <row r="131" ht="14.1" hidden="1" customHeight="1"/>
    <row r="132" ht="14.1" hidden="1" customHeight="1"/>
    <row r="133" ht="14.1" hidden="1" customHeight="1"/>
    <row r="134" ht="14.1" hidden="1" customHeight="1"/>
    <row r="135" ht="14.1" hidden="1" customHeight="1"/>
    <row r="136" ht="14.1" hidden="1" customHeight="1"/>
    <row r="137" ht="14.1" hidden="1" customHeight="1"/>
    <row r="138" ht="14.1" hidden="1" customHeight="1"/>
    <row r="139" ht="14.1" hidden="1" customHeight="1"/>
    <row r="140" ht="14.1" hidden="1" customHeight="1"/>
    <row r="141" ht="14.1" hidden="1" customHeight="1"/>
    <row r="142" ht="14.1" hidden="1" customHeight="1"/>
    <row r="143" ht="14.1" hidden="1" customHeight="1"/>
    <row r="144" ht="14.1" hidden="1" customHeight="1"/>
    <row r="145" ht="14.1" hidden="1" customHeight="1"/>
    <row r="146" ht="14.1" hidden="1" customHeight="1"/>
    <row r="147" ht="14.1" hidden="1" customHeight="1"/>
    <row r="148" ht="14.1" hidden="1" customHeight="1"/>
    <row r="149" ht="14.1" hidden="1" customHeight="1"/>
    <row r="150" ht="14.1" hidden="1" customHeight="1"/>
    <row r="151" ht="14.1" hidden="1" customHeight="1"/>
    <row r="152" ht="14.1" hidden="1" customHeight="1"/>
    <row r="153" ht="14.1" hidden="1" customHeight="1"/>
    <row r="154" ht="14.1" hidden="1" customHeight="1"/>
    <row r="155" ht="14.1" hidden="1" customHeight="1"/>
    <row r="156" ht="14.1" hidden="1" customHeight="1"/>
    <row r="157" ht="14.1" hidden="1" customHeight="1"/>
    <row r="158" ht="14.1" hidden="1" customHeight="1"/>
    <row r="159" ht="14.1" hidden="1" customHeight="1"/>
    <row r="160" ht="14.1" hidden="1" customHeight="1"/>
    <row r="161" ht="14.1" hidden="1" customHeight="1"/>
    <row r="162" ht="14.1" hidden="1" customHeight="1"/>
    <row r="163" ht="14.1" hidden="1" customHeight="1"/>
    <row r="164" ht="14.1" hidden="1" customHeight="1"/>
    <row r="165" ht="14.1" hidden="1" customHeight="1"/>
    <row r="166" ht="14.1" hidden="1" customHeight="1"/>
    <row r="167" ht="14.1" hidden="1" customHeight="1"/>
    <row r="168" ht="14.1" hidden="1" customHeight="1"/>
    <row r="169" ht="14.1" hidden="1" customHeight="1"/>
    <row r="170" ht="14.1" hidden="1" customHeight="1"/>
    <row r="171" ht="14.1" hidden="1" customHeight="1"/>
    <row r="172" ht="14.1" hidden="1" customHeight="1"/>
    <row r="173" ht="14.1" hidden="1" customHeight="1"/>
    <row r="174" ht="14.1" hidden="1" customHeight="1"/>
    <row r="175" ht="14.1" hidden="1" customHeight="1"/>
    <row r="176" ht="14.1" hidden="1" customHeight="1"/>
    <row r="177" ht="14.1" hidden="1" customHeight="1"/>
    <row r="178" ht="14.1" hidden="1" customHeight="1"/>
    <row r="179" ht="14.1" hidden="1" customHeight="1"/>
    <row r="180" ht="14.1" hidden="1" customHeight="1"/>
    <row r="181" ht="14.1" hidden="1" customHeight="1"/>
    <row r="182" ht="14.1" hidden="1" customHeight="1"/>
    <row r="183" ht="14.1" hidden="1" customHeight="1"/>
    <row r="184" ht="14.1" hidden="1" customHeight="1"/>
    <row r="185" ht="14.1" hidden="1" customHeight="1"/>
    <row r="186" ht="14.1" hidden="1" customHeight="1"/>
    <row r="187" ht="14.1" hidden="1" customHeight="1"/>
    <row r="188" ht="14.1" hidden="1" customHeight="1"/>
    <row r="189" ht="14.1" hidden="1" customHeight="1"/>
    <row r="190" ht="14.1" hidden="1" customHeight="1"/>
    <row r="191" ht="14.1" hidden="1" customHeight="1"/>
    <row r="192" ht="14.1" hidden="1" customHeight="1"/>
    <row r="193" ht="14.1" hidden="1" customHeight="1"/>
    <row r="194" ht="14.1" hidden="1" customHeight="1"/>
    <row r="195" ht="14.1" hidden="1" customHeight="1"/>
    <row r="196" ht="14.1" hidden="1" customHeight="1"/>
    <row r="197" ht="14.1" hidden="1" customHeight="1"/>
    <row r="198" ht="14.1" hidden="1" customHeight="1"/>
    <row r="199" ht="14.1" hidden="1" customHeight="1"/>
    <row r="200" ht="14.1" hidden="1" customHeight="1"/>
    <row r="201" ht="14.1" hidden="1" customHeight="1"/>
    <row r="202" ht="14.1" hidden="1" customHeight="1"/>
    <row r="203" ht="14.1" hidden="1" customHeight="1"/>
    <row r="204" ht="14.1" hidden="1" customHeight="1"/>
    <row r="205" ht="14.1" hidden="1" customHeight="1"/>
    <row r="206" ht="14.1" hidden="1" customHeight="1"/>
    <row r="207" ht="14.1" hidden="1" customHeight="1"/>
    <row r="208" ht="14.1" hidden="1" customHeight="1"/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4.1" hidden="1" customHeight="1"/>
    <row r="313" ht="14.1" hidden="1" customHeight="1"/>
    <row r="314" ht="14.1" hidden="1" customHeight="1"/>
    <row r="315" ht="14.1" hidden="1" customHeight="1"/>
    <row r="316" ht="14.1" hidden="1" customHeight="1"/>
    <row r="317" ht="14.1" hidden="1" customHeight="1"/>
    <row r="318" ht="14.1" hidden="1" customHeight="1"/>
    <row r="319" ht="14.1" hidden="1" customHeight="1"/>
    <row r="320" ht="14.1" hidden="1" customHeight="1"/>
    <row r="321" ht="14.1" hidden="1" customHeight="1"/>
    <row r="322" ht="14.1" hidden="1" customHeight="1"/>
    <row r="323" ht="14.1" hidden="1" customHeight="1"/>
    <row r="324" ht="14.1" hidden="1" customHeight="1"/>
    <row r="325" ht="14.1" hidden="1" customHeight="1"/>
    <row r="326" ht="14.1" hidden="1" customHeight="1"/>
    <row r="327" ht="14.1" hidden="1" customHeight="1"/>
    <row r="328" ht="14.1" hidden="1" customHeight="1"/>
    <row r="329" ht="14.1" hidden="1" customHeight="1"/>
    <row r="330" ht="14.1" hidden="1" customHeight="1"/>
    <row r="331" ht="14.1" hidden="1" customHeight="1"/>
    <row r="332" ht="14.1" hidden="1" customHeight="1"/>
    <row r="333" ht="14.1" hidden="1" customHeight="1"/>
    <row r="334" ht="14.1" hidden="1" customHeight="1"/>
    <row r="335" ht="14.1" hidden="1" customHeight="1"/>
    <row r="336" ht="14.1" hidden="1" customHeight="1"/>
    <row r="337" ht="14.1" hidden="1" customHeight="1"/>
    <row r="338" ht="14.1" hidden="1" customHeight="1"/>
    <row r="339" ht="14.1" hidden="1" customHeight="1"/>
    <row r="340" ht="14.1" hidden="1" customHeight="1"/>
    <row r="341" ht="14.1" hidden="1" customHeight="1"/>
    <row r="342" ht="14.1" hidden="1" customHeight="1"/>
    <row r="343" ht="14.1" hidden="1" customHeight="1"/>
    <row r="344" ht="14.1" hidden="1" customHeight="1"/>
    <row r="345" ht="14.1" hidden="1" customHeight="1"/>
    <row r="346" ht="14.1" hidden="1" customHeight="1"/>
    <row r="347" ht="14.1" hidden="1" customHeight="1"/>
    <row r="348" ht="14.1" hidden="1" customHeight="1"/>
    <row r="349" ht="14.1" hidden="1" customHeight="1"/>
    <row r="350" ht="14.1" hidden="1" customHeight="1"/>
    <row r="351" ht="14.1" hidden="1" customHeight="1"/>
    <row r="352" ht="14.1" hidden="1" customHeight="1"/>
    <row r="353" ht="14.1" hidden="1" customHeight="1"/>
    <row r="354" ht="14.1" hidden="1" customHeight="1"/>
    <row r="355" ht="14.1" hidden="1" customHeight="1"/>
    <row r="356" ht="14.1" hidden="1" customHeight="1"/>
    <row r="357" ht="14.1" hidden="1" customHeight="1"/>
    <row r="358" ht="14.1" hidden="1" customHeight="1"/>
    <row r="359" ht="14.1" hidden="1" customHeight="1"/>
    <row r="360" ht="14.1" hidden="1" customHeight="1"/>
    <row r="361" ht="14.1" hidden="1" customHeight="1"/>
    <row r="362" ht="14.1" hidden="1" customHeight="1"/>
    <row r="363" ht="14.1" hidden="1" customHeight="1"/>
    <row r="364" ht="14.1" hidden="1" customHeight="1"/>
    <row r="365" ht="14.1" hidden="1" customHeight="1"/>
    <row r="366" ht="14.1" hidden="1" customHeight="1"/>
    <row r="367" ht="14.1" hidden="1" customHeight="1"/>
    <row r="368" ht="14.1" hidden="1" customHeight="1"/>
    <row r="369" ht="14.1" hidden="1" customHeight="1"/>
    <row r="370" ht="14.1" hidden="1" customHeight="1"/>
    <row r="371" ht="14.1" hidden="1" customHeight="1"/>
    <row r="372" ht="14.1" hidden="1" customHeight="1"/>
    <row r="373" ht="14.1" hidden="1" customHeight="1"/>
    <row r="374" ht="14.1" hidden="1" customHeight="1"/>
    <row r="375" ht="14.1" hidden="1" customHeight="1"/>
    <row r="376" ht="14.1" hidden="1" customHeight="1"/>
    <row r="377" ht="14.1" hidden="1" customHeight="1"/>
    <row r="378" ht="14.1" hidden="1" customHeight="1"/>
    <row r="379" ht="14.1" hidden="1" customHeight="1"/>
    <row r="380" ht="14.1" hidden="1" customHeight="1"/>
    <row r="381" ht="14.1" hidden="1" customHeight="1"/>
    <row r="382" ht="14.1" hidden="1" customHeight="1"/>
    <row r="383" ht="14.1" hidden="1" customHeight="1"/>
    <row r="384" ht="14.1" hidden="1" customHeight="1"/>
    <row r="385" ht="14.1" hidden="1" customHeight="1"/>
    <row r="386" ht="14.1" hidden="1" customHeight="1"/>
    <row r="387" ht="14.1" hidden="1" customHeight="1"/>
    <row r="388" ht="14.1" hidden="1" customHeight="1"/>
    <row r="389" ht="14.1" hidden="1" customHeight="1"/>
    <row r="390" ht="14.1" hidden="1" customHeight="1"/>
    <row r="391" ht="14.1" hidden="1" customHeight="1"/>
    <row r="392" ht="14.1" hidden="1" customHeight="1"/>
    <row r="393" ht="14.1" hidden="1" customHeight="1"/>
    <row r="394" ht="14.1" hidden="1" customHeight="1"/>
    <row r="395" ht="14.1" hidden="1" customHeight="1"/>
    <row r="396" ht="14.1" hidden="1" customHeight="1"/>
    <row r="397" ht="14.1" hidden="1" customHeight="1"/>
    <row r="398" ht="14.1" hidden="1" customHeight="1"/>
    <row r="399" ht="14.1" hidden="1" customHeight="1"/>
    <row r="400" ht="14.1" hidden="1" customHeight="1"/>
    <row r="401" ht="14.1" hidden="1" customHeight="1"/>
    <row r="402" ht="14.1" hidden="1" customHeight="1"/>
    <row r="403" ht="14.1" hidden="1" customHeight="1"/>
    <row r="404" ht="14.1" hidden="1" customHeight="1"/>
    <row r="405" ht="14.1" hidden="1" customHeight="1"/>
    <row r="406" ht="14.1" hidden="1" customHeight="1"/>
    <row r="407" ht="14.1" hidden="1" customHeight="1"/>
    <row r="408" ht="14.1" hidden="1" customHeight="1"/>
    <row r="409" ht="14.1" hidden="1" customHeight="1"/>
    <row r="410" ht="14.1" hidden="1" customHeight="1"/>
    <row r="411" ht="14.1" hidden="1" customHeight="1"/>
    <row r="412" ht="14.1" hidden="1" customHeight="1"/>
    <row r="413" ht="14.1" hidden="1" customHeight="1"/>
    <row r="414" ht="14.1" hidden="1" customHeight="1"/>
    <row r="415" ht="14.1" hidden="1" customHeight="1"/>
    <row r="416" ht="14.1" hidden="1" customHeight="1"/>
    <row r="417" ht="14.1" hidden="1" customHeight="1"/>
    <row r="418" ht="14.1" hidden="1" customHeight="1"/>
    <row r="419" ht="14.1" hidden="1" customHeight="1"/>
    <row r="420" ht="14.1" hidden="1" customHeight="1"/>
    <row r="421" ht="14.1" hidden="1" customHeight="1"/>
    <row r="422" ht="14.1" hidden="1" customHeight="1"/>
    <row r="423" ht="14.1" hidden="1" customHeight="1"/>
    <row r="424" ht="14.1" hidden="1" customHeight="1"/>
    <row r="425" ht="14.1" hidden="1" customHeight="1"/>
    <row r="426" ht="14.1" hidden="1" customHeight="1"/>
    <row r="427" ht="14.1" hidden="1" customHeight="1"/>
    <row r="428" ht="14.1" hidden="1" customHeight="1"/>
    <row r="429" ht="14.1" hidden="1" customHeight="1"/>
    <row r="430" ht="14.1" hidden="1" customHeight="1"/>
    <row r="431" ht="14.1" hidden="1" customHeight="1"/>
    <row r="432" ht="14.1" hidden="1" customHeight="1"/>
    <row r="433" ht="14.1" hidden="1" customHeight="1"/>
    <row r="434" ht="14.1" hidden="1" customHeight="1"/>
    <row r="435" ht="14.1" hidden="1" customHeight="1"/>
    <row r="436" ht="14.1" hidden="1" customHeight="1"/>
    <row r="437" ht="14.1" hidden="1" customHeight="1"/>
    <row r="438" ht="14.1" hidden="1" customHeight="1"/>
    <row r="439" ht="14.1" hidden="1" customHeight="1"/>
    <row r="440" ht="14.1" hidden="1" customHeight="1"/>
    <row r="441" ht="14.1" hidden="1" customHeight="1"/>
    <row r="442" ht="14.1" hidden="1" customHeight="1"/>
    <row r="443" ht="14.1" hidden="1" customHeight="1"/>
    <row r="444" ht="14.1" hidden="1" customHeight="1"/>
    <row r="445" ht="14.1" hidden="1" customHeight="1"/>
    <row r="446" ht="14.1" hidden="1" customHeight="1"/>
    <row r="447" ht="14.1" hidden="1" customHeight="1"/>
    <row r="448" ht="14.1" hidden="1" customHeight="1"/>
    <row r="449" ht="14.1" hidden="1" customHeight="1"/>
    <row r="450" ht="14.1" hidden="1" customHeight="1"/>
    <row r="451" ht="14.1" hidden="1" customHeight="1"/>
    <row r="452" ht="14.1" hidden="1" customHeight="1"/>
    <row r="453" ht="14.1" hidden="1" customHeight="1"/>
    <row r="454" ht="14.1" hidden="1" customHeight="1"/>
    <row r="455" ht="14.1" hidden="1" customHeight="1"/>
    <row r="456" ht="14.1" hidden="1" customHeight="1"/>
    <row r="457" ht="14.1" hidden="1" customHeight="1"/>
    <row r="458" ht="14.1" hidden="1" customHeight="1"/>
    <row r="459" ht="14.1" hidden="1" customHeight="1"/>
    <row r="460" ht="14.1" hidden="1" customHeight="1"/>
    <row r="461" ht="14.1" hidden="1" customHeight="1"/>
    <row r="462" ht="14.1" hidden="1" customHeight="1"/>
    <row r="463" ht="14.1" hidden="1" customHeight="1"/>
    <row r="464" ht="14.1" hidden="1" customHeight="1"/>
    <row r="465" ht="14.1" hidden="1" customHeight="1"/>
    <row r="466" ht="14.1" hidden="1" customHeight="1"/>
    <row r="467" ht="14.1" hidden="1" customHeight="1"/>
    <row r="468" ht="14.1" hidden="1" customHeight="1"/>
    <row r="469" ht="14.1" hidden="1" customHeight="1"/>
    <row r="470" ht="14.1" hidden="1" customHeight="1"/>
    <row r="471" ht="14.1" hidden="1" customHeight="1"/>
    <row r="472" ht="14.1" hidden="1" customHeight="1"/>
    <row r="473" ht="14.1" hidden="1" customHeight="1"/>
    <row r="474" ht="14.1" hidden="1" customHeight="1"/>
    <row r="475" ht="14.1" hidden="1" customHeight="1"/>
    <row r="476" ht="14.1" hidden="1" customHeight="1"/>
    <row r="477" ht="14.1" hidden="1" customHeight="1"/>
    <row r="478" ht="14.1" hidden="1" customHeight="1"/>
    <row r="479" ht="14.1" hidden="1" customHeight="1"/>
    <row r="480" ht="14.1" hidden="1" customHeight="1"/>
    <row r="481" ht="14.1" hidden="1" customHeight="1"/>
    <row r="482" ht="14.1" hidden="1" customHeight="1"/>
    <row r="483" ht="14.1" hidden="1" customHeight="1"/>
    <row r="484" ht="14.1" hidden="1" customHeight="1"/>
    <row r="485" ht="14.1" hidden="1" customHeight="1"/>
    <row r="486" ht="14.1" hidden="1" customHeight="1"/>
    <row r="487" ht="14.1" hidden="1" customHeight="1"/>
    <row r="488" ht="14.1" hidden="1" customHeight="1"/>
    <row r="489" ht="14.1" hidden="1" customHeight="1"/>
    <row r="490" ht="14.1" hidden="1" customHeight="1"/>
    <row r="491" ht="14.1" hidden="1" customHeight="1"/>
    <row r="492" ht="14.1" hidden="1" customHeight="1"/>
    <row r="493" ht="14.1" hidden="1" customHeight="1"/>
    <row r="494" ht="14.1" hidden="1" customHeight="1"/>
    <row r="495" ht="14.1" hidden="1" customHeight="1"/>
    <row r="496" ht="14.1" hidden="1" customHeight="1"/>
    <row r="497" ht="14.1" hidden="1" customHeight="1"/>
    <row r="498" ht="14.1" hidden="1" customHeight="1"/>
    <row r="499" ht="14.1" hidden="1" customHeight="1"/>
    <row r="500" ht="14.1" hidden="1" customHeight="1"/>
    <row r="501" ht="14.1" hidden="1" customHeight="1"/>
    <row r="502" ht="14.1" hidden="1" customHeight="1"/>
    <row r="503" ht="14.1" hidden="1" customHeight="1"/>
    <row r="504" ht="14.1" hidden="1" customHeight="1"/>
    <row r="505" ht="14.1" hidden="1" customHeight="1"/>
    <row r="506" ht="14.1" hidden="1" customHeight="1"/>
    <row r="507" ht="14.1" hidden="1" customHeight="1"/>
    <row r="508" ht="14.1" hidden="1" customHeight="1"/>
    <row r="509" ht="14.1" hidden="1" customHeight="1"/>
    <row r="510" ht="14.1" hidden="1" customHeight="1"/>
    <row r="511" ht="14.1" hidden="1" customHeight="1"/>
    <row r="512" ht="14.1" hidden="1" customHeight="1"/>
    <row r="513" ht="14.1" hidden="1" customHeight="1"/>
    <row r="514" ht="14.1" hidden="1" customHeight="1"/>
    <row r="515" ht="11.25" hidden="1" customHeight="1"/>
    <row r="516" ht="11.25" hidden="1" customHeight="1"/>
    <row r="517" ht="11.25" hidden="1" customHeight="1"/>
  </sheetData>
  <sheetProtection sheet="1" objects="1" scenarios="1"/>
  <phoneticPr fontId="0" type="noConversion"/>
  <conditionalFormatting sqref="E137:F137 E119:F119 E121:F121 E123:F123 E125:F125 E127:F127 E129:F129 E131:F131 E133:F133 E135:F135">
    <cfRule type="expression" dxfId="118" priority="1" stopIfTrue="1">
      <formula>IF(P119=1,TRUE,FALSE)</formula>
    </cfRule>
  </conditionalFormatting>
  <conditionalFormatting sqref="H31 H33">
    <cfRule type="expression" dxfId="117" priority="2" stopIfTrue="1">
      <formula>IF(O31=1,TRUE,FALSE)</formula>
    </cfRule>
  </conditionalFormatting>
  <conditionalFormatting sqref="H32">
    <cfRule type="expression" dxfId="116" priority="3" stopIfTrue="1">
      <formula>IF(O32&gt;0,TRUE,FALSE)</formula>
    </cfRule>
  </conditionalFormatting>
  <conditionalFormatting sqref="J32">
    <cfRule type="expression" dxfId="115" priority="4" stopIfTrue="1">
      <formula>IF(O32=2,TRUE,FALSE)</formula>
    </cfRule>
  </conditionalFormatting>
  <conditionalFormatting sqref="L51 L54 L71:L72 L58 L64 L75:L78 L61 L67 L8:L12">
    <cfRule type="expression" dxfId="114" priority="5" stopIfTrue="1">
      <formula>IF(O8&gt;0,TRUE,FALSE)</formula>
    </cfRule>
  </conditionalFormatting>
  <conditionalFormatting sqref="M51 M54 M58 M64 M71:M72 M75:M78">
    <cfRule type="expression" dxfId="113" priority="6" stopIfTrue="1">
      <formula>IF(O51&gt;0,TRUE,FALSE)</formula>
    </cfRule>
  </conditionalFormatting>
  <conditionalFormatting sqref="J54 J58 J64 J71 J51 J75 J8:J12">
    <cfRule type="expression" dxfId="112" priority="7" stopIfTrue="1">
      <formula>IF(O8&gt;0,TRUE,FALSE)</formula>
    </cfRule>
  </conditionalFormatting>
  <conditionalFormatting sqref="E31:F46">
    <cfRule type="expression" dxfId="111" priority="8" stopIfTrue="1">
      <formula>IF(P30&gt;0,TRUE,FALSE)</formula>
    </cfRule>
  </conditionalFormatting>
  <conditionalFormatting sqref="E16:E17 E19:E21">
    <cfRule type="expression" dxfId="110" priority="9" stopIfTrue="1">
      <formula>IF(O15&gt;0,TRUE,FALSE)</formula>
    </cfRule>
  </conditionalFormatting>
  <conditionalFormatting sqref="E18">
    <cfRule type="expression" dxfId="109" priority="10" stopIfTrue="1">
      <formula>IF($O$17&gt;0,TRUE,FALSE)</formula>
    </cfRule>
  </conditionalFormatting>
  <conditionalFormatting sqref="E22">
    <cfRule type="expression" dxfId="108" priority="11" stopIfTrue="1">
      <formula>IF(E16&lt;&gt;"CONDUIT",TRUE,FALSE)</formula>
    </cfRule>
    <cfRule type="expression" dxfId="107" priority="12" stopIfTrue="1">
      <formula>IF(O21&gt;0,TRUE,FALSE)</formula>
    </cfRule>
  </conditionalFormatting>
  <conditionalFormatting sqref="E23">
    <cfRule type="expression" dxfId="106" priority="13" stopIfTrue="1">
      <formula>IF(E16&lt;&gt;"CONDUIT",TRUE,FALSE)</formula>
    </cfRule>
    <cfRule type="expression" dxfId="105" priority="14" stopIfTrue="1">
      <formula>IF(O22&gt;0,TRUE,FALSE)</formula>
    </cfRule>
  </conditionalFormatting>
  <conditionalFormatting sqref="E24">
    <cfRule type="expression" dxfId="104" priority="15" stopIfTrue="1">
      <formula>IF(E16&lt;&gt;"CONDUIT",TRUE,FALSE)</formula>
    </cfRule>
    <cfRule type="expression" dxfId="103" priority="16" stopIfTrue="1">
      <formula>IF(O23&gt;0,TRUE,FALSE)</formula>
    </cfRule>
  </conditionalFormatting>
  <conditionalFormatting sqref="G9">
    <cfRule type="expression" dxfId="102" priority="17" stopIfTrue="1">
      <formula>IF(O9=2,TRUE,FALSE)</formula>
    </cfRule>
  </conditionalFormatting>
  <conditionalFormatting sqref="K15:L16">
    <cfRule type="expression" dxfId="101" priority="18" stopIfTrue="1">
      <formula>IF($P$15&gt;0,1,0)</formula>
    </cfRule>
  </conditionalFormatting>
  <conditionalFormatting sqref="J15">
    <cfRule type="expression" dxfId="100" priority="19" stopIfTrue="1">
      <formula>-IF(Q15&gt;0,TRUE,FALSE)</formula>
    </cfRule>
    <cfRule type="expression" dxfId="99" priority="20" stopIfTrue="1">
      <formula>IF($P$15&gt;0,1,0)</formula>
    </cfRule>
  </conditionalFormatting>
  <conditionalFormatting sqref="J16">
    <cfRule type="expression" dxfId="98" priority="21" stopIfTrue="1">
      <formula>IF($Q$15&gt;0,TRUE,FALSE)</formula>
    </cfRule>
    <cfRule type="expression" dxfId="97" priority="22" stopIfTrue="1">
      <formula>IF($P$15&gt;0,1,0)</formula>
    </cfRule>
  </conditionalFormatting>
  <conditionalFormatting sqref="J17:J19">
    <cfRule type="expression" dxfId="96" priority="23" stopIfTrue="1">
      <formula>IF($Q$15&gt;0,TRUE,IF($P$15&gt;10,TRUE,FALSE))</formula>
    </cfRule>
    <cfRule type="expression" dxfId="95" priority="24" stopIfTrue="1">
      <formula>IF($P$15&gt;0,1,0)</formula>
    </cfRule>
  </conditionalFormatting>
  <conditionalFormatting sqref="J22">
    <cfRule type="expression" dxfId="94" priority="25" stopIfTrue="1">
      <formula>IF(Q15&gt;0,TRUE,IF($P$15&gt;10,TRUE,FALSE))</formula>
    </cfRule>
  </conditionalFormatting>
  <conditionalFormatting sqref="H82:H105">
    <cfRule type="expression" dxfId="93" priority="26" stopIfTrue="1">
      <formula>IF(O82=1,TRUE,IF(R81&gt;0,TRUE,FALSE))</formula>
    </cfRule>
  </conditionalFormatting>
  <conditionalFormatting sqref="J109:J118">
    <cfRule type="expression" dxfId="92" priority="27" stopIfTrue="1">
      <formula>IF(O109&gt;0,TRUE,IF(R108&gt;0,TRUE,FALSE))</formula>
    </cfRule>
  </conditionalFormatting>
  <conditionalFormatting sqref="H109:H118">
    <cfRule type="expression" dxfId="91" priority="28" stopIfTrue="1">
      <formula>IF($J$9=1,TRUE,FALSE)</formula>
    </cfRule>
    <cfRule type="expression" dxfId="90" priority="29" stopIfTrue="1">
      <formula>IF(S108&gt;0,TRUE,FALSE)</formula>
    </cfRule>
  </conditionalFormatting>
  <conditionalFormatting sqref="D82:F105 D109:F118">
    <cfRule type="expression" dxfId="89" priority="30" stopIfTrue="1">
      <formula>IF(P81&gt;0,TRUE,FALSE)</formula>
    </cfRule>
  </conditionalFormatting>
  <conditionalFormatting sqref="C65">
    <cfRule type="expression" dxfId="88" priority="31" stopIfTrue="1">
      <formula>IF(E7=2008,TRUE,FALSE)</formula>
    </cfRule>
  </conditionalFormatting>
  <conditionalFormatting sqref="C76">
    <cfRule type="expression" dxfId="87" priority="32" stopIfTrue="1">
      <formula>IF(E7&lt;&gt;2008,TRUE,FALSE)</formula>
    </cfRule>
  </conditionalFormatting>
  <conditionalFormatting sqref="E25">
    <cfRule type="expression" dxfId="86" priority="33" stopIfTrue="1">
      <formula>IF(J3="NO",TRUE,FALSE)</formula>
    </cfRule>
    <cfRule type="expression" dxfId="85" priority="34" stopIfTrue="1">
      <formula>IF(O50&gt;0,TRUE,FALSE)</formula>
    </cfRule>
  </conditionalFormatting>
  <conditionalFormatting sqref="F16:H16">
    <cfRule type="expression" dxfId="84" priority="35" stopIfTrue="1">
      <formula>IF($P$15=99,FALSE,IF($O$15&gt;0,TRUE,IF($P$15&gt;10,TRUE,FALSE)))</formula>
    </cfRule>
  </conditionalFormatting>
  <conditionalFormatting sqref="F25">
    <cfRule type="expression" dxfId="83" priority="36" stopIfTrue="1">
      <formula>IF(O50&gt;0,TRUE,FALSE)</formula>
    </cfRule>
  </conditionalFormatting>
  <conditionalFormatting sqref="G25">
    <cfRule type="expression" dxfId="82" priority="37" stopIfTrue="1">
      <formula>IF(O50&gt;0,TRUE,FALSE)</formula>
    </cfRule>
  </conditionalFormatting>
  <conditionalFormatting sqref="F24:H24">
    <cfRule type="expression" dxfId="81" priority="38" stopIfTrue="1">
      <formula>IF($O$23&gt;0,TRUE,FALSE)</formula>
    </cfRule>
  </conditionalFormatting>
  <conditionalFormatting sqref="H25">
    <cfRule type="expression" dxfId="80" priority="39" stopIfTrue="1">
      <formula>IF(O50&gt;0,TRUE,FALSE)</formula>
    </cfRule>
  </conditionalFormatting>
  <conditionalFormatting sqref="F23:H23">
    <cfRule type="expression" dxfId="79" priority="40" stopIfTrue="1">
      <formula>IF($O$22&gt;0,TRUE,FALSE)</formula>
    </cfRule>
  </conditionalFormatting>
  <conditionalFormatting sqref="F22:H22">
    <cfRule type="expression" dxfId="78" priority="41" stopIfTrue="1">
      <formula>IF($O$21&gt;0,TRUE,FALSE)</formula>
    </cfRule>
  </conditionalFormatting>
  <conditionalFormatting sqref="F21:H21">
    <cfRule type="expression" dxfId="77" priority="42" stopIfTrue="1">
      <formula>IF($O$20&gt;0,TRUE,IF($P$15=11,TRUE,FALSE))</formula>
    </cfRule>
  </conditionalFormatting>
  <conditionalFormatting sqref="F20:H20">
    <cfRule type="expression" dxfId="76" priority="43" stopIfTrue="1">
      <formula>IF($O$19&gt;0,TRUE,IF($P$15=11,TRUE,FALSE))</formula>
    </cfRule>
  </conditionalFormatting>
  <conditionalFormatting sqref="F19:H19">
    <cfRule type="expression" dxfId="75" priority="44" stopIfTrue="1">
      <formula>IF($O$18&gt;0,TRUE,IF($P$15=11,TRUE,FALSE))</formula>
    </cfRule>
  </conditionalFormatting>
  <conditionalFormatting sqref="F18:H18">
    <cfRule type="expression" dxfId="74" priority="45" stopIfTrue="1">
      <formula>IF($P$15=99,FALSE,IF($O$17&gt;0,TRUE,IF($P$15&gt;10,TRUE,FALSE)))</formula>
    </cfRule>
  </conditionalFormatting>
  <conditionalFormatting sqref="F17:H17">
    <cfRule type="expression" dxfId="73" priority="46" stopIfTrue="1">
      <formula>IF($O$16&gt;0,TRUE,FALSE)</formula>
    </cfRule>
  </conditionalFormatting>
  <conditionalFormatting sqref="H37:H46">
    <cfRule type="expression" dxfId="72" priority="47" stopIfTrue="1">
      <formula>IF(O36=1,TRUE,FALSE)</formula>
    </cfRule>
  </conditionalFormatting>
  <conditionalFormatting sqref="J67">
    <cfRule type="expression" dxfId="71" priority="48" stopIfTrue="1">
      <formula>IF($R$3=2008,TRUE,FALSE)</formula>
    </cfRule>
    <cfRule type="expression" dxfId="70" priority="49" stopIfTrue="1">
      <formula>IF($R$3=2002,TRUE,FALSE)</formula>
    </cfRule>
    <cfRule type="expression" dxfId="69" priority="50" stopIfTrue="1">
      <formula>IF(O67&gt;0,TRUE,FALSE)</formula>
    </cfRule>
  </conditionalFormatting>
  <conditionalFormatting sqref="D66:J66">
    <cfRule type="expression" dxfId="68" priority="51" stopIfTrue="1">
      <formula>IF($R$3=2008,TRUE,FALSE)</formula>
    </cfRule>
  </conditionalFormatting>
  <conditionalFormatting sqref="C66">
    <cfRule type="expression" dxfId="67" priority="52" stopIfTrue="1">
      <formula>IF($R$3=2008,TRUE,FALSE)</formula>
    </cfRule>
  </conditionalFormatting>
  <conditionalFormatting sqref="K66">
    <cfRule type="expression" dxfId="66" priority="53" stopIfTrue="1">
      <formula>IF($R$3=2008,TRUE,FALSE)</formula>
    </cfRule>
  </conditionalFormatting>
  <conditionalFormatting sqref="C67">
    <cfRule type="expression" dxfId="65" priority="54" stopIfTrue="1">
      <formula>IF(E7&lt;&gt;2008,TRUE,FALSE)</formula>
    </cfRule>
    <cfRule type="expression" dxfId="64" priority="55" stopIfTrue="1">
      <formula>IF($R$3=2008,TRUE,FALSE)</formula>
    </cfRule>
  </conditionalFormatting>
  <conditionalFormatting sqref="D67:I67">
    <cfRule type="expression" dxfId="63" priority="56" stopIfTrue="1">
      <formula>IF($R$3=2008,TRUE,FALSE)</formula>
    </cfRule>
  </conditionalFormatting>
  <conditionalFormatting sqref="K67">
    <cfRule type="expression" dxfId="62" priority="57" stopIfTrue="1">
      <formula>IF($R$3=2008,TRUE,FALSE)</formula>
    </cfRule>
  </conditionalFormatting>
  <conditionalFormatting sqref="C61">
    <cfRule type="expression" dxfId="61" priority="58" stopIfTrue="1">
      <formula>IF(E7=2008,TRUE,FALSE)</formula>
    </cfRule>
    <cfRule type="expression" dxfId="60" priority="59" stopIfTrue="1">
      <formula>IF($R$3&lt;&gt;2008,TRUE,FALSE)</formula>
    </cfRule>
  </conditionalFormatting>
  <conditionalFormatting sqref="D61:I61 K61 D77:K77">
    <cfRule type="expression" dxfId="59" priority="60" stopIfTrue="1">
      <formula>IF($R$3&lt;&gt;2008,TRUE,FALSE)</formula>
    </cfRule>
  </conditionalFormatting>
  <conditionalFormatting sqref="J61">
    <cfRule type="expression" dxfId="58" priority="61" stopIfTrue="1">
      <formula>IF(E7&lt;&gt;2008,TRUE,FALSE)</formula>
    </cfRule>
    <cfRule type="expression" dxfId="57" priority="62" stopIfTrue="1">
      <formula>IF(O61&gt;0,TRUE,FALSE)</formula>
    </cfRule>
  </conditionalFormatting>
  <conditionalFormatting sqref="C77">
    <cfRule type="expression" dxfId="56" priority="63" stopIfTrue="1">
      <formula>IF($R$3&lt;&gt;2008,TRUE,FALSE)</formula>
    </cfRule>
  </conditionalFormatting>
  <dataValidations xWindow="229" yWindow="279" count="30">
    <dataValidation allowBlank="1" showInputMessage="1" showErrorMessage="1" prompt="Enter Project Name" sqref="J4 E4"/>
    <dataValidation allowBlank="1" showInputMessage="1" showErrorMessage="1" prompt="Enter Address" sqref="J5"/>
    <dataValidation type="whole" allowBlank="1" showInputMessage="1" showErrorMessage="1" error="Number must be larger than ZERO" prompt="Enter Square Footage" sqref="J10">
      <formula1>1</formula1>
      <formula2>1000000</formula2>
    </dataValidation>
    <dataValidation type="whole" allowBlank="1" showInputMessage="1" showErrorMessage="1" error="Number must be ZERO or larger" prompt="Enter Number of Laundry Circuits" sqref="J12">
      <formula1>0</formula1>
      <formula2>500</formula2>
    </dataValidation>
    <dataValidation type="whole" allowBlank="1" showInputMessage="1" showErrorMessage="1" error="Enter Number Zero or Larger" prompt="Enter Number of Ranges" sqref="E31">
      <formula1>0</formula1>
      <formula2>100</formula2>
    </dataValidation>
    <dataValidation type="whole" allowBlank="1" showInputMessage="1" showErrorMessage="1" error="Number must be TWO or larger" prompt="Enter Number of Appliance Circuits" sqref="J11">
      <formula1>0</formula1>
      <formula2>500</formula2>
    </dataValidation>
    <dataValidation type="whole" allowBlank="1" showInputMessage="1" showErrorMessage="1" error="Enter Number Zero or Larger" prompt="Enter Number of Water Heaters" sqref="E33 E37:E46">
      <formula1>0</formula1>
      <formula2>100</formula2>
    </dataValidation>
    <dataValidation type="whole" allowBlank="1" showInputMessage="1" showErrorMessage="1" error="Enter Number Zero or Larger" prompt="Enter Number of Dryers" sqref="E32">
      <formula1>0</formula1>
      <formula2>100</formula2>
    </dataValidation>
    <dataValidation allowBlank="1" showInputMessage="1" showErrorMessage="1" prompt="Enter Circuit Description" sqref="D82:D105 D109:D118"/>
    <dataValidation type="whole" operator="greaterThan" allowBlank="1" showInputMessage="1" showErrorMessage="1" error="Enter Number Zero or Larger" prompt="Enter Number" sqref="E82:E105 E109:E118">
      <formula1>-1</formula1>
    </dataValidation>
    <dataValidation type="decimal" operator="greaterThan" allowBlank="1" showInputMessage="1" showErrorMessage="1" error="Enter Number Zero or Larger" prompt="Enter KVA" sqref="J54 J51 J64 J75 J71">
      <formula1>-0.0000000001</formula1>
    </dataValidation>
    <dataValidation type="decimal" operator="greaterThan" allowBlank="1" showInputMessage="1" showErrorMessage="1" error="Enter Number Zero or Larger" prompt="Enter AMPS" sqref="F82:F105 F109:F118">
      <formula1>-0.000000001</formula1>
    </dataValidation>
    <dataValidation type="custom" allowBlank="1" showInputMessage="1" showErrorMessage="1" error="Enter Number Zero or Larger" prompt="Enter KVA" sqref="F31:F33">
      <formula1>IF(ISTEXT(F31)=TRUE,FALSE,IF(F31&lt;0,FALSE,TRUE))</formula1>
    </dataValidation>
    <dataValidation type="list" allowBlank="1" showInputMessage="1" showErrorMessage="1" error="Select Phase" prompt="Select Phase" sqref="H109:H118 J9">
      <formula1>"1,3Y"</formula1>
    </dataValidation>
    <dataValidation type="list" allowBlank="1" showInputMessage="1" showErrorMessage="1" error="Select feeder type" prompt="Select feeder type" sqref="E16">
      <formula1>"CONDUIT,SER,MC"</formula1>
    </dataValidation>
    <dataValidation type="whole" allowBlank="1" showInputMessage="1" showErrorMessage="1" error="Enter five (5) or larger" prompt="Enter Length" sqref="E17">
      <formula1>5</formula1>
      <formula2>1000</formula2>
    </dataValidation>
    <dataValidation type="list" allowBlank="1" showInputMessage="1" showErrorMessage="1" error="Enter CU or AL" prompt="Enter CU or AL" sqref="E18">
      <formula1>"CU,AL"</formula1>
    </dataValidation>
    <dataValidation type="list" allowBlank="1" showInputMessage="1" showErrorMessage="1" sqref="E19">
      <formula1>"60,75,90"</formula1>
    </dataValidation>
    <dataValidation type="whole" allowBlank="1" showInputMessage="1" showErrorMessage="1" error="Enter whole number 0-1200" prompt="Enter Minimum Amps" sqref="E20">
      <formula1>0</formula1>
      <formula2>1200</formula2>
    </dataValidation>
    <dataValidation type="list" allowBlank="1" showInputMessage="1" showErrorMessage="1" error="Select YES or NO" prompt="Select YES or NO" sqref="E22">
      <formula1>"YES,NO"</formula1>
    </dataValidation>
    <dataValidation type="list" allowBlank="1" showInputMessage="1" showErrorMessage="1" error="Select Wire Type" prompt="Select Wire Type" sqref="E23">
      <formula1>"THW,RHW,THHN,XHHW,THW-CA,THHN-CA,XHHW-CA"</formula1>
    </dataValidation>
    <dataValidation type="list" allowBlank="1" showInputMessage="1" showErrorMessage="1" error="Select Conduit Type" prompt="Select Conduit Type" sqref="E24">
      <formula1>"RIGID,EMT,IMC,PVC-40,RIGID/PVC,FLEX,LT-FLEX"</formula1>
    </dataValidation>
    <dataValidation type="whole" allowBlank="1" showInputMessage="1" showErrorMessage="1" error="Enter % Factor" prompt="Enter % Factor" sqref="E21">
      <formula1>0</formula1>
      <formula2>600</formula2>
    </dataValidation>
    <dataValidation allowBlank="1" showInputMessage="1" showErrorMessage="1" error="Enter panel name" prompt="Enter panel name" sqref="J8"/>
    <dataValidation type="whole" operator="greaterThan" allowBlank="1" showInputMessage="1" showErrorMessage="1" error="Enter Number Larger than Zero" prompt="Enter Fault Current" sqref="J7">
      <formula1>0</formula1>
    </dataValidation>
    <dataValidation type="decimal" operator="greaterThan" allowBlank="1" showInputMessage="1" showErrorMessage="1" error="Enter Number Zero or Larger&#10;" prompt="Enter KVA" sqref="J58">
      <formula1>-0.0000000001</formula1>
    </dataValidation>
    <dataValidation type="whole" allowBlank="1" showInputMessage="1" showErrorMessage="1" prompt="Enter % Wire Size Factor" sqref="E25">
      <formula1>0</formula1>
      <formula2>600</formula2>
    </dataValidation>
    <dataValidation type="custom" allowBlank="1" showInputMessage="1" showErrorMessage="1" error="Enter Number Zero or Larger" prompt="Enter KVA" sqref="J67">
      <formula1>IF(E7&lt;&gt;2005,TRUE,IF(J67&gt;-0.01,TRUE,FALSE))</formula1>
    </dataValidation>
    <dataValidation type="custom" operator="greaterThan" allowBlank="1" showInputMessage="1" showErrorMessage="1" error="Enter Number Zero or Larger" prompt="Enter KVA" sqref="J61">
      <formula1>IF(E7=2005,TRUE,IF(J61&gt;-0.01,TRUE,FALSE))</formula1>
    </dataValidation>
    <dataValidation type="custom" allowBlank="1" showInputMessage="1" showErrorMessage="1" error="Enter Number Zero or Larger" prompt="Enter Amps" sqref="F37:F46">
      <formula1>IF(ISTEXT(F37)=TRUE,FALSE,IF(F37&lt;0,FALSE,TRUE))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Q202"/>
  <sheetViews>
    <sheetView workbookViewId="0">
      <selection activeCell="B13" sqref="B13"/>
    </sheetView>
  </sheetViews>
  <sheetFormatPr defaultColWidth="8" defaultRowHeight="11.25"/>
  <cols>
    <col min="1" max="1" width="16.42578125" style="198" customWidth="1"/>
    <col min="2" max="2" width="8" style="199" customWidth="1"/>
    <col min="3" max="3" width="8" style="198" customWidth="1"/>
    <col min="4" max="4" width="16.85546875" style="198" customWidth="1"/>
    <col min="5" max="5" width="15.5703125" style="198" customWidth="1"/>
    <col min="6" max="6" width="13.5703125" style="198" customWidth="1"/>
    <col min="7" max="7" width="13.7109375" style="198" customWidth="1"/>
    <col min="8" max="9" width="13.7109375" style="199" customWidth="1"/>
    <col min="10" max="10" width="9.28515625" style="199" customWidth="1"/>
    <col min="11" max="11" width="6.28515625" style="199" customWidth="1"/>
    <col min="12" max="12" width="10" style="199" customWidth="1"/>
    <col min="13" max="13" width="13.7109375" style="198" customWidth="1"/>
    <col min="14" max="15" width="8" style="198" customWidth="1"/>
    <col min="16" max="16" width="11" style="198" customWidth="1"/>
    <col min="17" max="17" width="8" style="198" customWidth="1"/>
    <col min="18" max="19" width="3.28515625" style="198" customWidth="1"/>
    <col min="20" max="20" width="6.42578125" style="198" customWidth="1"/>
    <col min="21" max="21" width="6.7109375" style="198" customWidth="1"/>
    <col min="22" max="22" width="16.7109375" style="198" customWidth="1"/>
    <col min="23" max="24" width="15.42578125" style="198" customWidth="1"/>
    <col min="25" max="25" width="7" style="198" customWidth="1"/>
    <col min="26" max="26" width="7.28515625" style="198" customWidth="1"/>
    <col min="27" max="27" width="7.140625" style="198" customWidth="1"/>
    <col min="28" max="29" width="10" style="198" customWidth="1"/>
    <col min="30" max="30" width="11" style="198" customWidth="1"/>
    <col min="31" max="35" width="8" style="198" customWidth="1"/>
    <col min="36" max="36" width="11.140625" style="198" customWidth="1"/>
    <col min="37" max="16384" width="8" style="198"/>
  </cols>
  <sheetData>
    <row r="1" spans="1:43" s="200" customFormat="1">
      <c r="A1" s="198"/>
      <c r="B1" s="199"/>
      <c r="H1" s="201"/>
      <c r="I1" s="201"/>
      <c r="J1" s="201"/>
      <c r="K1" s="201"/>
      <c r="L1" s="201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L1" s="200">
        <f>SUM(AL6:AN197)</f>
        <v>7</v>
      </c>
    </row>
    <row r="2" spans="1:43" s="200" customFormat="1">
      <c r="A2" s="198" t="s">
        <v>536</v>
      </c>
      <c r="B2" s="199" t="str">
        <f>IF(AND(B5=1,B4=120,B3=240),"YES","NO")</f>
        <v>YES</v>
      </c>
      <c r="C2" s="200">
        <f>AL1</f>
        <v>7</v>
      </c>
      <c r="H2" s="201"/>
      <c r="I2" s="201"/>
      <c r="J2" s="201"/>
      <c r="K2" s="201"/>
      <c r="L2" s="201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</row>
    <row r="3" spans="1:43" s="200" customFormat="1">
      <c r="A3" s="198" t="s">
        <v>70</v>
      </c>
      <c r="B3" s="307">
        <f>Input!J4</f>
        <v>240</v>
      </c>
      <c r="H3" s="201"/>
      <c r="I3" s="201"/>
      <c r="J3" s="201"/>
      <c r="K3" s="201"/>
      <c r="L3" s="201"/>
      <c r="N3" s="201" t="s">
        <v>131</v>
      </c>
    </row>
    <row r="4" spans="1:43">
      <c r="A4" s="198" t="s">
        <v>71</v>
      </c>
      <c r="B4" s="307">
        <f>Input!J5</f>
        <v>120</v>
      </c>
      <c r="C4" s="200"/>
      <c r="D4" s="200"/>
      <c r="E4" s="200"/>
      <c r="F4" s="200"/>
      <c r="G4" s="200"/>
      <c r="H4" s="201" t="s">
        <v>294</v>
      </c>
      <c r="I4" s="201" t="s">
        <v>150</v>
      </c>
      <c r="J4" s="201" t="s">
        <v>150</v>
      </c>
      <c r="K4" s="201" t="s">
        <v>128</v>
      </c>
      <c r="L4" s="201" t="s">
        <v>121</v>
      </c>
      <c r="M4" s="200"/>
      <c r="N4" s="201">
        <v>310.14999999999998</v>
      </c>
      <c r="S4" s="200" t="s">
        <v>295</v>
      </c>
      <c r="T4" s="200"/>
      <c r="U4" s="200"/>
      <c r="V4" s="200"/>
      <c r="W4" s="200"/>
      <c r="X4" s="200"/>
      <c r="Y4" s="200"/>
      <c r="Z4" s="200"/>
      <c r="AA4" s="200"/>
      <c r="AB4" s="200"/>
      <c r="AC4" s="200"/>
      <c r="AF4" s="200"/>
    </row>
    <row r="5" spans="1:43">
      <c r="A5" s="198" t="s">
        <v>77</v>
      </c>
      <c r="B5" s="307">
        <f>Input!J9</f>
        <v>1</v>
      </c>
      <c r="C5" s="200"/>
      <c r="D5" s="200"/>
      <c r="E5" s="200"/>
      <c r="F5" s="200"/>
      <c r="G5" s="200"/>
      <c r="H5" s="201" t="s">
        <v>296</v>
      </c>
      <c r="I5" s="201" t="s">
        <v>221</v>
      </c>
      <c r="J5" s="201" t="s">
        <v>133</v>
      </c>
      <c r="K5" s="201" t="s">
        <v>133</v>
      </c>
      <c r="L5" s="201" t="s">
        <v>4</v>
      </c>
      <c r="M5" s="200"/>
      <c r="N5" s="201"/>
      <c r="S5" s="203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5" t="s">
        <v>131</v>
      </c>
      <c r="AF5" s="206" t="s">
        <v>154</v>
      </c>
      <c r="AG5" s="207"/>
      <c r="AH5" s="207"/>
      <c r="AI5" s="207"/>
    </row>
    <row r="6" spans="1:43">
      <c r="A6" s="200" t="s">
        <v>4</v>
      </c>
      <c r="B6" s="208">
        <f>Conduit!G8</f>
        <v>114</v>
      </c>
      <c r="C6" s="200">
        <f>IF(AND(B8=3,B9="AL",B10="SER"),1,0)</f>
        <v>0</v>
      </c>
      <c r="D6" s="200" t="s">
        <v>297</v>
      </c>
      <c r="E6" s="200" t="str">
        <f>AA21</f>
        <v xml:space="preserve"> SER CABLE</v>
      </c>
      <c r="F6" s="200" t="str">
        <f>AA22</f>
        <v xml:space="preserve"> 3-#1/0 AL  </v>
      </c>
      <c r="G6" s="200" t="str">
        <f>AA23</f>
        <v xml:space="preserve"> 1-#2 GND</v>
      </c>
      <c r="H6" s="201">
        <f>AB19</f>
        <v>5876</v>
      </c>
      <c r="I6" s="201">
        <f>AC19</f>
        <v>0.20100000000000001</v>
      </c>
      <c r="J6" s="201" t="str">
        <f>W19</f>
        <v>#1/0</v>
      </c>
      <c r="K6" s="201" t="str">
        <f>X19</f>
        <v>#2</v>
      </c>
      <c r="L6" s="201">
        <f>Y19</f>
        <v>125</v>
      </c>
      <c r="M6" s="200" t="str">
        <f>V19</f>
        <v>1/0-1/0-1/0-2</v>
      </c>
      <c r="N6" s="201">
        <f>AQ16</f>
        <v>1</v>
      </c>
      <c r="P6" s="198" t="s">
        <v>4</v>
      </c>
      <c r="Q6" s="198">
        <f>B6</f>
        <v>114</v>
      </c>
      <c r="S6" s="209"/>
      <c r="T6" s="210" t="s">
        <v>298</v>
      </c>
      <c r="U6" s="210" t="s">
        <v>122</v>
      </c>
      <c r="V6" s="211" t="s">
        <v>150</v>
      </c>
      <c r="W6" s="211" t="s">
        <v>150</v>
      </c>
      <c r="X6" s="211" t="s">
        <v>128</v>
      </c>
      <c r="Y6" s="212" t="str">
        <f>IF($Q$7=60,AG6,IF($Q$7=75,AH6,IF($Q$7=90,AI6)))</f>
        <v>75 C</v>
      </c>
      <c r="Z6" s="211" t="s">
        <v>150</v>
      </c>
      <c r="AA6" s="210" t="s">
        <v>298</v>
      </c>
      <c r="AB6" s="211" t="s">
        <v>294</v>
      </c>
      <c r="AC6" s="211" t="s">
        <v>221</v>
      </c>
      <c r="AD6" s="213" t="s">
        <v>537</v>
      </c>
      <c r="AF6" s="211" t="s">
        <v>150</v>
      </c>
      <c r="AG6" s="211" t="s">
        <v>151</v>
      </c>
      <c r="AH6" s="211" t="s">
        <v>152</v>
      </c>
      <c r="AI6" s="211" t="s">
        <v>153</v>
      </c>
      <c r="AJ6" s="212" t="s">
        <v>538</v>
      </c>
    </row>
    <row r="7" spans="1:43">
      <c r="A7" s="200" t="s">
        <v>107</v>
      </c>
      <c r="B7" s="208">
        <f>Input!E19</f>
        <v>75</v>
      </c>
      <c r="C7" s="198">
        <f>IF(AND(B8=3,B9="CU",B10="SER"),1,0)</f>
        <v>0</v>
      </c>
      <c r="D7" s="200" t="s">
        <v>299</v>
      </c>
      <c r="E7" s="198" t="str">
        <f>AA45</f>
        <v xml:space="preserve"> SER CABLE</v>
      </c>
      <c r="F7" s="198" t="str">
        <f>AA46</f>
        <v xml:space="preserve"> 3-#2 CU  </v>
      </c>
      <c r="G7" s="198" t="str">
        <f>AA47</f>
        <v xml:space="preserve"> 1-#4 GND</v>
      </c>
      <c r="H7" s="199">
        <f>AB43</f>
        <v>6087</v>
      </c>
      <c r="I7" s="199">
        <f>AC43</f>
        <v>0.19400000000000001</v>
      </c>
      <c r="J7" s="199" t="str">
        <f>W43</f>
        <v>#2</v>
      </c>
      <c r="K7" s="199" t="str">
        <f>X43</f>
        <v>#4</v>
      </c>
      <c r="L7" s="199">
        <f>Y43</f>
        <v>125</v>
      </c>
      <c r="M7" s="200" t="str">
        <f>V43</f>
        <v>2-2-2-4</v>
      </c>
      <c r="N7" s="199">
        <f>AQ40</f>
        <v>1</v>
      </c>
      <c r="P7" s="198" t="s">
        <v>107</v>
      </c>
      <c r="Q7" s="198">
        <f>B7</f>
        <v>75</v>
      </c>
      <c r="S7" s="209"/>
      <c r="T7" s="214" t="s">
        <v>300</v>
      </c>
      <c r="U7" s="214"/>
      <c r="V7" s="215" t="s">
        <v>133</v>
      </c>
      <c r="W7" s="215" t="s">
        <v>133</v>
      </c>
      <c r="X7" s="215" t="s">
        <v>133</v>
      </c>
      <c r="Y7" s="215" t="s">
        <v>4</v>
      </c>
      <c r="Z7" s="215" t="s">
        <v>133</v>
      </c>
      <c r="AA7" s="214" t="s">
        <v>300</v>
      </c>
      <c r="AB7" s="215" t="s">
        <v>296</v>
      </c>
      <c r="AC7" s="215" t="s">
        <v>224</v>
      </c>
      <c r="AD7" s="213" t="s">
        <v>4</v>
      </c>
      <c r="AF7" s="215" t="s">
        <v>133</v>
      </c>
      <c r="AG7" s="215" t="s">
        <v>4</v>
      </c>
      <c r="AH7" s="215" t="s">
        <v>4</v>
      </c>
      <c r="AI7" s="215" t="s">
        <v>4</v>
      </c>
      <c r="AJ7" s="224" t="s">
        <v>537</v>
      </c>
    </row>
    <row r="8" spans="1:43">
      <c r="A8" s="200" t="s">
        <v>301</v>
      </c>
      <c r="B8" s="216">
        <f>IF(Input!J9=1,3,4)</f>
        <v>3</v>
      </c>
      <c r="C8" s="198">
        <f>IF(AND(B8=4,B9="AL",B10="SER"),1,0)</f>
        <v>0</v>
      </c>
      <c r="D8" s="198" t="s">
        <v>302</v>
      </c>
      <c r="E8" s="198" t="str">
        <f>AA71</f>
        <v xml:space="preserve"> SER CABLE</v>
      </c>
      <c r="F8" s="198" t="str">
        <f>AA72</f>
        <v xml:space="preserve"> 4-#1/0 AL  </v>
      </c>
      <c r="G8" s="198" t="str">
        <f>AA73</f>
        <v xml:space="preserve"> 1-#2 GND</v>
      </c>
      <c r="H8" s="199">
        <f>AB69</f>
        <v>5876</v>
      </c>
      <c r="I8" s="199">
        <f>AC69</f>
        <v>0.20100000000000001</v>
      </c>
      <c r="J8" s="199" t="str">
        <f>W69</f>
        <v>#1/0</v>
      </c>
      <c r="K8" s="199" t="str">
        <f>X69</f>
        <v>#2</v>
      </c>
      <c r="L8" s="199">
        <f>Y69</f>
        <v>125</v>
      </c>
      <c r="M8" s="200" t="str">
        <f>V69</f>
        <v>1/0-1/0-1/0-1/0-2</v>
      </c>
      <c r="N8" s="199">
        <f>AQ66</f>
        <v>1</v>
      </c>
      <c r="S8" s="209"/>
      <c r="T8" s="217"/>
      <c r="U8" s="217"/>
      <c r="V8" s="215" t="s">
        <v>156</v>
      </c>
      <c r="W8" s="215"/>
      <c r="X8" s="215"/>
      <c r="Y8" s="215" t="s">
        <v>160</v>
      </c>
      <c r="Z8" s="215" t="s">
        <v>30</v>
      </c>
      <c r="AA8" s="217"/>
      <c r="AB8" s="218"/>
      <c r="AC8" s="218" t="s">
        <v>160</v>
      </c>
      <c r="AD8" s="213"/>
      <c r="AF8" s="215" t="s">
        <v>156</v>
      </c>
      <c r="AG8" s="215" t="s">
        <v>160</v>
      </c>
      <c r="AH8" s="215" t="s">
        <v>160</v>
      </c>
      <c r="AI8" s="215" t="s">
        <v>160</v>
      </c>
      <c r="AJ8" s="217"/>
    </row>
    <row r="9" spans="1:43">
      <c r="A9" s="198" t="s">
        <v>303</v>
      </c>
      <c r="B9" s="219" t="str">
        <f>Input!E18</f>
        <v>AL</v>
      </c>
      <c r="C9" s="198">
        <f>IF(AND(B8=3,B9="CU",B10="ROMEX"),1,0)</f>
        <v>0</v>
      </c>
      <c r="D9" s="198" t="s">
        <v>304</v>
      </c>
      <c r="E9" s="198" t="str">
        <f>AA92</f>
        <v xml:space="preserve"> ROMEX</v>
      </c>
      <c r="F9" s="198" t="str">
        <f>AA93</f>
        <v xml:space="preserve"> 3-#2 CU  </v>
      </c>
      <c r="G9" s="198" t="str">
        <f>AA94</f>
        <v xml:space="preserve"> 1-#8 GND</v>
      </c>
      <c r="H9" s="199">
        <f>AB90</f>
        <v>4833</v>
      </c>
      <c r="I9" s="199">
        <f>AC90</f>
        <v>0.19400000000000001</v>
      </c>
      <c r="J9" s="199" t="str">
        <f>W90</f>
        <v>#2</v>
      </c>
      <c r="K9" s="199" t="str">
        <f>X90</f>
        <v>#8</v>
      </c>
      <c r="L9" s="199">
        <f>Y90</f>
        <v>115</v>
      </c>
      <c r="M9" s="200" t="str">
        <f>V90</f>
        <v>2-2-2-2</v>
      </c>
      <c r="N9" s="199"/>
      <c r="S9" s="209"/>
      <c r="T9" s="210">
        <v>100</v>
      </c>
      <c r="U9" s="210">
        <v>0</v>
      </c>
      <c r="V9" s="220" t="s">
        <v>305</v>
      </c>
      <c r="W9" s="220" t="s">
        <v>158</v>
      </c>
      <c r="X9" s="220" t="s">
        <v>158</v>
      </c>
      <c r="Y9" s="212">
        <f t="shared" ref="Y9:Y16" si="0">IF($Q$7=60,AG9,IF($Q$7=75,AH9,IF($Q$7=90,AI9)))</f>
        <v>50</v>
      </c>
      <c r="Z9" s="210">
        <v>5</v>
      </c>
      <c r="AA9" s="210">
        <v>100</v>
      </c>
      <c r="AB9" s="210">
        <v>1482</v>
      </c>
      <c r="AC9" s="221">
        <v>0.80800000000000005</v>
      </c>
      <c r="AD9" s="213"/>
      <c r="AF9" s="211" t="s">
        <v>158</v>
      </c>
      <c r="AG9" s="211">
        <v>40</v>
      </c>
      <c r="AH9" s="211">
        <v>50</v>
      </c>
      <c r="AI9" s="211">
        <v>60</v>
      </c>
      <c r="AJ9" s="214"/>
    </row>
    <row r="10" spans="1:43">
      <c r="A10" s="198" t="s">
        <v>282</v>
      </c>
      <c r="B10" s="222" t="str">
        <f>Input!E16</f>
        <v>CONDUIT</v>
      </c>
      <c r="C10" s="198">
        <f>IF(AND(B8=3,B9="AL",B10="MC"),1,0)</f>
        <v>0</v>
      </c>
      <c r="D10" s="198" t="s">
        <v>306</v>
      </c>
      <c r="E10" s="198" t="str">
        <f>AA119</f>
        <v xml:space="preserve"> MC CABLE</v>
      </c>
      <c r="F10" s="198" t="str">
        <f>AA120</f>
        <v xml:space="preserve"> 3-#1/0 AL  </v>
      </c>
      <c r="G10" s="198" t="str">
        <f>AA121</f>
        <v xml:space="preserve"> 1-#4 GND</v>
      </c>
      <c r="H10" s="199">
        <f>AB117</f>
        <v>5852</v>
      </c>
      <c r="I10" s="199">
        <f>AC117</f>
        <v>0.20100000000000001</v>
      </c>
      <c r="J10" s="199" t="str">
        <f>W117</f>
        <v>#1/0</v>
      </c>
      <c r="K10" s="199" t="str">
        <f>X117</f>
        <v>#4</v>
      </c>
      <c r="L10" s="199">
        <f>Y117</f>
        <v>125</v>
      </c>
      <c r="M10" s="200" t="str">
        <f>V117</f>
        <v>1/0-1/0-1/0-4</v>
      </c>
      <c r="N10" s="199">
        <f>AQ114</f>
        <v>1</v>
      </c>
      <c r="S10" s="209"/>
      <c r="T10" s="214">
        <v>101</v>
      </c>
      <c r="U10" s="214">
        <f t="shared" ref="U10:U17" si="1">Y9+0.0000001</f>
        <v>50.000000100000001</v>
      </c>
      <c r="V10" s="223" t="s">
        <v>307</v>
      </c>
      <c r="W10" s="223" t="s">
        <v>161</v>
      </c>
      <c r="X10" s="223" t="s">
        <v>158</v>
      </c>
      <c r="Y10" s="224">
        <f t="shared" si="0"/>
        <v>65</v>
      </c>
      <c r="Z10" s="214">
        <v>6</v>
      </c>
      <c r="AA10" s="214">
        <v>101</v>
      </c>
      <c r="AB10" s="214">
        <v>2353</v>
      </c>
      <c r="AC10" s="221">
        <v>0.50800000000000001</v>
      </c>
      <c r="AD10" s="213"/>
      <c r="AF10" s="215" t="s">
        <v>161</v>
      </c>
      <c r="AG10" s="215">
        <v>55</v>
      </c>
      <c r="AH10" s="215">
        <v>65</v>
      </c>
      <c r="AI10" s="215">
        <v>75</v>
      </c>
      <c r="AJ10" s="214"/>
    </row>
    <row r="11" spans="1:43">
      <c r="C11" s="198">
        <f>IF(AND(B8=4,B9="AL",B10="MC"),1,0)</f>
        <v>0</v>
      </c>
      <c r="D11" s="198" t="s">
        <v>308</v>
      </c>
      <c r="E11" s="198" t="str">
        <f>AA146</f>
        <v xml:space="preserve"> MC CABLE</v>
      </c>
      <c r="F11" s="198" t="str">
        <f>AA147</f>
        <v xml:space="preserve"> 4-#1/0 AL  </v>
      </c>
      <c r="G11" s="198" t="str">
        <f>AA148</f>
        <v xml:space="preserve"> 1-#4 GND</v>
      </c>
      <c r="H11" s="199">
        <f>AB144</f>
        <v>5852</v>
      </c>
      <c r="I11" s="199">
        <f>AC144</f>
        <v>0.20100000000000001</v>
      </c>
      <c r="J11" s="199" t="str">
        <f>W144</f>
        <v>#1/0</v>
      </c>
      <c r="K11" s="199" t="str">
        <f>X144</f>
        <v>#4</v>
      </c>
      <c r="L11" s="199">
        <f>Y144</f>
        <v>125</v>
      </c>
      <c r="M11" s="200" t="str">
        <f>V144</f>
        <v>1/0-1/0-1/0-1/0-4</v>
      </c>
      <c r="N11" s="199">
        <f>AQ141</f>
        <v>1</v>
      </c>
      <c r="S11" s="209"/>
      <c r="T11" s="214">
        <v>102</v>
      </c>
      <c r="U11" s="214">
        <f t="shared" si="1"/>
        <v>65.000000099999994</v>
      </c>
      <c r="V11" s="223" t="s">
        <v>309</v>
      </c>
      <c r="W11" s="223" t="s">
        <v>162</v>
      </c>
      <c r="X11" s="223" t="s">
        <v>161</v>
      </c>
      <c r="Y11" s="224">
        <f t="shared" si="0"/>
        <v>100</v>
      </c>
      <c r="Z11" s="214">
        <v>8</v>
      </c>
      <c r="AA11" s="214">
        <v>102</v>
      </c>
      <c r="AB11" s="214">
        <v>3740</v>
      </c>
      <c r="AC11" s="221">
        <v>0.31900000000000001</v>
      </c>
      <c r="AD11" s="213"/>
      <c r="AF11" s="215" t="s">
        <v>162</v>
      </c>
      <c r="AG11" s="308">
        <f>IF($B$2="YES",AJ11,75)</f>
        <v>100</v>
      </c>
      <c r="AH11" s="308">
        <f>IF($B$2="YES",AJ11,90)</f>
        <v>100</v>
      </c>
      <c r="AI11" s="215">
        <v>100</v>
      </c>
      <c r="AJ11" s="214">
        <v>100</v>
      </c>
      <c r="AL11" s="198">
        <f t="shared" ref="AL11:AL16" si="2">IF(Q$7=60,IF(AND($B$2="YES",$T$19=$T11),1,0),0)</f>
        <v>0</v>
      </c>
      <c r="AM11" s="198">
        <f t="shared" ref="AM11:AM16" si="3">IF(Q$7=75,IF(AND($B$2="YES",$T$19=$T11),1,0),0)</f>
        <v>0</v>
      </c>
    </row>
    <row r="12" spans="1:43">
      <c r="C12" s="198">
        <f>IF(AND(B8=3,B9="CU",B10="MC"),1,0)</f>
        <v>0</v>
      </c>
      <c r="D12" s="198" t="s">
        <v>310</v>
      </c>
      <c r="E12" s="198" t="str">
        <f>AA172</f>
        <v xml:space="preserve"> MC CABLE</v>
      </c>
      <c r="F12" s="198" t="str">
        <f>AA173</f>
        <v xml:space="preserve"> 3-#2 CU  </v>
      </c>
      <c r="G12" s="198" t="str">
        <f>AA174</f>
        <v xml:space="preserve"> 1-#6 GND</v>
      </c>
      <c r="H12" s="199">
        <f>AB170</f>
        <v>5989</v>
      </c>
      <c r="I12" s="199">
        <f>AC170</f>
        <v>0.19400000000000001</v>
      </c>
      <c r="J12" s="199" t="str">
        <f>W170</f>
        <v>#2</v>
      </c>
      <c r="K12" s="199" t="str">
        <f>X170</f>
        <v>#6</v>
      </c>
      <c r="L12" s="199">
        <f>Y170</f>
        <v>125</v>
      </c>
      <c r="M12" s="200" t="str">
        <f>V170</f>
        <v>2-2-2-6</v>
      </c>
      <c r="N12" s="199">
        <f>AQ167</f>
        <v>1</v>
      </c>
      <c r="S12" s="209"/>
      <c r="T12" s="214">
        <v>103</v>
      </c>
      <c r="U12" s="214">
        <f t="shared" si="1"/>
        <v>100.00000009999999</v>
      </c>
      <c r="V12" s="223" t="s">
        <v>311</v>
      </c>
      <c r="W12" s="223" t="s">
        <v>164</v>
      </c>
      <c r="X12" s="223" t="s">
        <v>163</v>
      </c>
      <c r="Y12" s="224">
        <f t="shared" si="0"/>
        <v>110</v>
      </c>
      <c r="Z12" s="214">
        <v>9</v>
      </c>
      <c r="AA12" s="214">
        <v>103</v>
      </c>
      <c r="AB12" s="214">
        <v>4699</v>
      </c>
      <c r="AC12" s="221">
        <v>0.253</v>
      </c>
      <c r="AD12" s="213"/>
      <c r="AF12" s="215" t="s">
        <v>164</v>
      </c>
      <c r="AG12" s="308">
        <f>IF($B$2="YES",AJ12,85)</f>
        <v>110</v>
      </c>
      <c r="AH12" s="308">
        <f>IF($B$2="YES",AJ12,100)</f>
        <v>110</v>
      </c>
      <c r="AI12" s="215">
        <v>115</v>
      </c>
      <c r="AJ12" s="214">
        <v>110</v>
      </c>
      <c r="AL12" s="198">
        <f t="shared" si="2"/>
        <v>0</v>
      </c>
      <c r="AM12" s="198">
        <f t="shared" si="3"/>
        <v>0</v>
      </c>
    </row>
    <row r="13" spans="1:43">
      <c r="C13" s="198">
        <f>IF(AND(B8=4,B9="CU",B10="MC"),1,0)</f>
        <v>0</v>
      </c>
      <c r="D13" s="198" t="s">
        <v>312</v>
      </c>
      <c r="E13" s="198" t="str">
        <f>AA199</f>
        <v xml:space="preserve"> MC CABLE</v>
      </c>
      <c r="F13" s="198" t="str">
        <f>AA200</f>
        <v xml:space="preserve"> 4-#2 CU  </v>
      </c>
      <c r="G13" s="198" t="str">
        <f>AA201</f>
        <v xml:space="preserve"> 1-#6 GND</v>
      </c>
      <c r="H13" s="199">
        <f>AB197</f>
        <v>5989</v>
      </c>
      <c r="I13" s="199">
        <f>AC197</f>
        <v>0.19400000000000001</v>
      </c>
      <c r="J13" s="199" t="str">
        <f>W197</f>
        <v>#2</v>
      </c>
      <c r="K13" s="199" t="str">
        <f>X197</f>
        <v>#6</v>
      </c>
      <c r="L13" s="199">
        <f>Y197</f>
        <v>125</v>
      </c>
      <c r="M13" s="200" t="str">
        <f>V197</f>
        <v>2-2-2-2-6</v>
      </c>
      <c r="N13" s="199">
        <f>AQ194</f>
        <v>1</v>
      </c>
      <c r="S13" s="209"/>
      <c r="T13" s="214">
        <v>104</v>
      </c>
      <c r="U13" s="214">
        <f t="shared" si="1"/>
        <v>110.00000009999999</v>
      </c>
      <c r="V13" s="223" t="s">
        <v>313</v>
      </c>
      <c r="W13" s="223" t="s">
        <v>165</v>
      </c>
      <c r="X13" s="223" t="s">
        <v>162</v>
      </c>
      <c r="Y13" s="224">
        <f t="shared" si="0"/>
        <v>125</v>
      </c>
      <c r="Z13" s="214">
        <v>10</v>
      </c>
      <c r="AA13" s="214">
        <v>104</v>
      </c>
      <c r="AB13" s="214">
        <v>5876</v>
      </c>
      <c r="AC13" s="221">
        <v>0.20100000000000001</v>
      </c>
      <c r="AD13" s="213"/>
      <c r="AF13" s="215" t="s">
        <v>165</v>
      </c>
      <c r="AG13" s="215">
        <f>IF($B$2="YES",AJ13,100)</f>
        <v>125</v>
      </c>
      <c r="AH13" s="215">
        <f>IF($B$2="YES",AJ13,120)</f>
        <v>125</v>
      </c>
      <c r="AI13" s="215">
        <v>135</v>
      </c>
      <c r="AJ13" s="214">
        <v>125</v>
      </c>
      <c r="AL13" s="198">
        <f t="shared" si="2"/>
        <v>0</v>
      </c>
      <c r="AM13" s="198">
        <f t="shared" si="3"/>
        <v>1</v>
      </c>
    </row>
    <row r="14" spans="1:43">
      <c r="N14" s="199"/>
      <c r="S14" s="209"/>
      <c r="T14" s="214">
        <v>105</v>
      </c>
      <c r="U14" s="214">
        <f t="shared" si="1"/>
        <v>125.00000009999999</v>
      </c>
      <c r="V14" s="223" t="s">
        <v>314</v>
      </c>
      <c r="W14" s="223" t="s">
        <v>166</v>
      </c>
      <c r="X14" s="223" t="s">
        <v>164</v>
      </c>
      <c r="Y14" s="224">
        <f t="shared" si="0"/>
        <v>150</v>
      </c>
      <c r="Z14" s="214">
        <v>11</v>
      </c>
      <c r="AA14" s="214">
        <v>105</v>
      </c>
      <c r="AB14" s="214">
        <v>7373</v>
      </c>
      <c r="AC14" s="221">
        <v>0.159</v>
      </c>
      <c r="AD14" s="213"/>
      <c r="AF14" s="215" t="s">
        <v>166</v>
      </c>
      <c r="AG14" s="215">
        <f>IF($B$2="YES",AJ14,115)</f>
        <v>150</v>
      </c>
      <c r="AH14" s="215">
        <f>IF($B$2="YES",AJ14,135)</f>
        <v>150</v>
      </c>
      <c r="AI14" s="215">
        <v>150</v>
      </c>
      <c r="AJ14" s="214">
        <v>150</v>
      </c>
      <c r="AL14" s="198">
        <f t="shared" si="2"/>
        <v>0</v>
      </c>
      <c r="AM14" s="198">
        <f t="shared" si="3"/>
        <v>0</v>
      </c>
    </row>
    <row r="15" spans="1:43">
      <c r="N15" s="199"/>
      <c r="S15" s="209"/>
      <c r="T15" s="214">
        <v>106</v>
      </c>
      <c r="U15" s="214">
        <f t="shared" si="1"/>
        <v>150.00000009999999</v>
      </c>
      <c r="V15" s="223" t="s">
        <v>315</v>
      </c>
      <c r="W15" s="223" t="s">
        <v>169</v>
      </c>
      <c r="X15" s="223" t="s">
        <v>165</v>
      </c>
      <c r="Y15" s="224">
        <f t="shared" si="0"/>
        <v>175</v>
      </c>
      <c r="Z15" s="214">
        <v>12</v>
      </c>
      <c r="AA15" s="214">
        <v>106</v>
      </c>
      <c r="AB15" s="214">
        <v>9243</v>
      </c>
      <c r="AC15" s="221">
        <v>0.126</v>
      </c>
      <c r="AD15" s="213"/>
      <c r="AF15" s="215" t="s">
        <v>169</v>
      </c>
      <c r="AG15" s="215">
        <f>IF($B$2="YES",AJ15,130)</f>
        <v>175</v>
      </c>
      <c r="AH15" s="215">
        <f>IF($B$2="YES",AJ15,155)</f>
        <v>175</v>
      </c>
      <c r="AI15" s="215">
        <v>175</v>
      </c>
      <c r="AJ15" s="214">
        <v>175</v>
      </c>
      <c r="AL15" s="198">
        <f t="shared" si="2"/>
        <v>0</v>
      </c>
      <c r="AM15" s="198">
        <f t="shared" si="3"/>
        <v>0</v>
      </c>
    </row>
    <row r="16" spans="1:43">
      <c r="D16" s="198" t="str">
        <f t="shared" ref="D16:N16" si="4">IF($C6=1,D6,IF($C7=1,D7,IF($C8=1,D8,IF($C9=1,D9,IF($C10=1,D10,IF($C11=1,D11,IF($C12=1,D12,IF($C13=1,D13,"ERROR"))))))))</f>
        <v>ERROR</v>
      </c>
      <c r="E16" s="198" t="str">
        <f t="shared" si="4"/>
        <v>ERROR</v>
      </c>
      <c r="F16" s="198" t="str">
        <f t="shared" si="4"/>
        <v>ERROR</v>
      </c>
      <c r="G16" s="198" t="str">
        <f t="shared" si="4"/>
        <v>ERROR</v>
      </c>
      <c r="H16" s="199" t="str">
        <f t="shared" si="4"/>
        <v>ERROR</v>
      </c>
      <c r="I16" s="199" t="str">
        <f t="shared" si="4"/>
        <v>ERROR</v>
      </c>
      <c r="J16" s="199" t="str">
        <f t="shared" si="4"/>
        <v>ERROR</v>
      </c>
      <c r="K16" s="199" t="str">
        <f t="shared" si="4"/>
        <v>ERROR</v>
      </c>
      <c r="L16" s="199" t="str">
        <f t="shared" si="4"/>
        <v>ERROR</v>
      </c>
      <c r="M16" s="198" t="str">
        <f t="shared" si="4"/>
        <v>ERROR</v>
      </c>
      <c r="N16" s="198" t="str">
        <f t="shared" si="4"/>
        <v>ERROR</v>
      </c>
      <c r="S16" s="209"/>
      <c r="T16" s="214">
        <v>107</v>
      </c>
      <c r="U16" s="214">
        <f t="shared" si="1"/>
        <v>175.00000009999999</v>
      </c>
      <c r="V16" s="223" t="s">
        <v>316</v>
      </c>
      <c r="W16" s="223" t="s">
        <v>170</v>
      </c>
      <c r="X16" s="223" t="s">
        <v>166</v>
      </c>
      <c r="Y16" s="224">
        <f t="shared" si="0"/>
        <v>200</v>
      </c>
      <c r="Z16" s="214">
        <v>13</v>
      </c>
      <c r="AA16" s="214">
        <v>107</v>
      </c>
      <c r="AB16" s="214">
        <v>11409</v>
      </c>
      <c r="AC16" s="221">
        <v>0.1</v>
      </c>
      <c r="AD16" s="213"/>
      <c r="AF16" s="218" t="s">
        <v>170</v>
      </c>
      <c r="AG16" s="218">
        <f>IF($B$2="YES",AJ16,150)</f>
        <v>200</v>
      </c>
      <c r="AH16" s="218">
        <f>IF($B$2="YES",AJ16,180)</f>
        <v>200</v>
      </c>
      <c r="AI16" s="218">
        <v>205</v>
      </c>
      <c r="AJ16" s="217">
        <v>200</v>
      </c>
      <c r="AL16" s="198">
        <f t="shared" si="2"/>
        <v>0</v>
      </c>
      <c r="AM16" s="198">
        <f t="shared" si="3"/>
        <v>0</v>
      </c>
      <c r="AQ16" s="198">
        <f>SUM(AL11:AM16)</f>
        <v>1</v>
      </c>
    </row>
    <row r="17" spans="4:37">
      <c r="N17" s="199"/>
      <c r="S17" s="209"/>
      <c r="T17" s="217">
        <v>108</v>
      </c>
      <c r="U17" s="217">
        <f t="shared" si="1"/>
        <v>200.00000009999999</v>
      </c>
      <c r="V17" s="225" t="s">
        <v>317</v>
      </c>
      <c r="W17" s="225" t="s">
        <v>317</v>
      </c>
      <c r="X17" s="225" t="s">
        <v>317</v>
      </c>
      <c r="Y17" s="226">
        <f>Y16</f>
        <v>200</v>
      </c>
      <c r="Z17" s="217" t="s">
        <v>317</v>
      </c>
      <c r="AA17" s="217">
        <v>108</v>
      </c>
      <c r="AB17" s="227" t="s">
        <v>317</v>
      </c>
      <c r="AC17" s="227" t="s">
        <v>317</v>
      </c>
      <c r="AD17" s="213"/>
      <c r="AF17" s="200"/>
    </row>
    <row r="18" spans="4:37">
      <c r="D18" s="228" t="str">
        <f>D16</f>
        <v>ERROR</v>
      </c>
      <c r="E18" s="228" t="str">
        <f t="shared" ref="E18:K18" si="5">IF($M16="EXCEED","ERROR",E16)</f>
        <v>ERROR</v>
      </c>
      <c r="F18" s="228" t="str">
        <f t="shared" si="5"/>
        <v>ERROR</v>
      </c>
      <c r="G18" s="228" t="str">
        <f t="shared" si="5"/>
        <v>ERROR</v>
      </c>
      <c r="H18" s="229" t="str">
        <f t="shared" si="5"/>
        <v>ERROR</v>
      </c>
      <c r="I18" s="229" t="str">
        <f t="shared" si="5"/>
        <v>ERROR</v>
      </c>
      <c r="J18" s="229" t="str">
        <f t="shared" si="5"/>
        <v>ERROR</v>
      </c>
      <c r="K18" s="229" t="str">
        <f t="shared" si="5"/>
        <v>ERROR</v>
      </c>
      <c r="L18" s="229" t="str">
        <f>L16</f>
        <v>ERROR</v>
      </c>
      <c r="M18" s="228" t="str">
        <f>M16</f>
        <v>ERROR</v>
      </c>
      <c r="N18" s="198" t="str">
        <f>N16</f>
        <v>ERROR</v>
      </c>
      <c r="S18" s="209"/>
      <c r="T18" s="200"/>
      <c r="U18" s="200"/>
      <c r="V18" s="230"/>
      <c r="W18" s="230"/>
      <c r="X18" s="230"/>
      <c r="Y18" s="200"/>
      <c r="Z18" s="200"/>
      <c r="AA18" s="200"/>
      <c r="AB18" s="200"/>
      <c r="AC18" s="200"/>
      <c r="AD18" s="213"/>
      <c r="AF18" s="200" t="s">
        <v>165</v>
      </c>
      <c r="AG18" s="198">
        <v>100</v>
      </c>
      <c r="AH18" s="198">
        <v>120</v>
      </c>
    </row>
    <row r="19" spans="4:37">
      <c r="P19" s="198" t="s">
        <v>539</v>
      </c>
      <c r="S19" s="209"/>
      <c r="T19" s="200">
        <f>VLOOKUP(AA19,T9:AA17,1)</f>
        <v>104</v>
      </c>
      <c r="U19" s="200"/>
      <c r="V19" s="200" t="str">
        <f>VLOOKUP(Q6,U9:AB17,2)</f>
        <v>1/0-1/0-1/0-2</v>
      </c>
      <c r="W19" s="200" t="str">
        <f>VLOOKUP(Q6,U9:AB17,3)</f>
        <v>#1/0</v>
      </c>
      <c r="X19" s="200" t="str">
        <f>VLOOKUP(Q6,U9:AB17,4)</f>
        <v>#2</v>
      </c>
      <c r="Y19" s="200">
        <f>VLOOKUP(Q6,U9:AB17,5)</f>
        <v>125</v>
      </c>
      <c r="Z19" s="200">
        <f>VLOOKUP(Q6,U9:AB17,6)</f>
        <v>10</v>
      </c>
      <c r="AA19" s="200">
        <f>VLOOKUP(Q6,U9:AB17,7)</f>
        <v>104</v>
      </c>
      <c r="AB19" s="200">
        <f>VLOOKUP(Q6,U9:AB17,8)</f>
        <v>5876</v>
      </c>
      <c r="AC19" s="200">
        <f>VLOOKUP(Q6,U9:AC17,9)</f>
        <v>0.20100000000000001</v>
      </c>
      <c r="AD19" s="213"/>
      <c r="AF19" s="200" t="s">
        <v>166</v>
      </c>
      <c r="AG19" s="198">
        <v>115</v>
      </c>
      <c r="AH19" s="198">
        <v>135</v>
      </c>
    </row>
    <row r="20" spans="4:37">
      <c r="P20" s="198" t="s">
        <v>540</v>
      </c>
      <c r="S20" s="209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13"/>
      <c r="AF20" s="198" t="s">
        <v>169</v>
      </c>
      <c r="AG20" s="198">
        <v>130</v>
      </c>
      <c r="AH20" s="198">
        <v>155</v>
      </c>
    </row>
    <row r="21" spans="4:37">
      <c r="P21" s="198">
        <f>B7</f>
        <v>75</v>
      </c>
      <c r="R21" s="231"/>
      <c r="S21" s="209"/>
      <c r="T21" s="200"/>
      <c r="U21" s="200"/>
      <c r="V21" s="200" t="s">
        <v>318</v>
      </c>
      <c r="W21" s="200"/>
      <c r="X21" s="200"/>
      <c r="Y21" s="200"/>
      <c r="Z21" s="200"/>
      <c r="AA21" s="200" t="str">
        <f>CONCATENATE(V21,W21,X21,Y21)</f>
        <v xml:space="preserve"> SER CABLE</v>
      </c>
      <c r="AB21" s="200"/>
      <c r="AC21" s="200"/>
      <c r="AD21" s="213"/>
      <c r="AF21" s="198" t="s">
        <v>170</v>
      </c>
      <c r="AG21" s="198">
        <v>150</v>
      </c>
      <c r="AH21" s="198">
        <v>180</v>
      </c>
    </row>
    <row r="22" spans="4:37">
      <c r="P22" s="198" t="s">
        <v>541</v>
      </c>
      <c r="R22" s="231"/>
      <c r="S22" s="209"/>
      <c r="T22" s="200"/>
      <c r="U22" s="200"/>
      <c r="V22" s="200" t="s">
        <v>319</v>
      </c>
      <c r="W22" s="200" t="str">
        <f>W19</f>
        <v>#1/0</v>
      </c>
      <c r="X22" s="200" t="s">
        <v>320</v>
      </c>
      <c r="Y22" s="200" t="s">
        <v>66</v>
      </c>
      <c r="Z22" s="200" t="s">
        <v>66</v>
      </c>
      <c r="AA22" s="200" t="str">
        <f>CONCATENATE(V22,W22,X22,Y22,Z22)</f>
        <v xml:space="preserve"> 3-#1/0 AL  </v>
      </c>
      <c r="AB22" s="200"/>
      <c r="AC22" s="200"/>
      <c r="AD22" s="213"/>
      <c r="AK22" s="207"/>
    </row>
    <row r="23" spans="4:37">
      <c r="D23" s="198" t="s">
        <v>321</v>
      </c>
      <c r="E23" s="198">
        <f>B6</f>
        <v>114</v>
      </c>
      <c r="F23" s="198" t="s">
        <v>451</v>
      </c>
      <c r="J23" s="232" t="str">
        <f>CONCATENATE(D23,E23,F23)</f>
        <v xml:space="preserve"> THE DESIGN LOAD OF 114 AMPS EXCEEDS THE</v>
      </c>
      <c r="R23" s="231"/>
      <c r="S23" s="209"/>
      <c r="T23" s="200"/>
      <c r="U23" s="200"/>
      <c r="V23" s="200" t="s">
        <v>322</v>
      </c>
      <c r="W23" s="200" t="str">
        <f>X19</f>
        <v>#2</v>
      </c>
      <c r="X23" s="200" t="s">
        <v>247</v>
      </c>
      <c r="Y23" s="200"/>
      <c r="Z23" s="200"/>
      <c r="AA23" s="200" t="str">
        <f>CONCATENATE(V23,W23,X23,Y23,Z23)</f>
        <v xml:space="preserve"> 1-#2 GND</v>
      </c>
      <c r="AB23" s="200"/>
      <c r="AC23" s="200"/>
      <c r="AD23" s="213"/>
    </row>
    <row r="24" spans="4:37">
      <c r="D24" s="198" t="s">
        <v>452</v>
      </c>
      <c r="E24" s="198" t="str">
        <f>L18</f>
        <v>ERROR</v>
      </c>
      <c r="F24" s="198" t="s">
        <v>323</v>
      </c>
      <c r="J24" s="232" t="str">
        <f>CONCATENATE(D24,E24,F24)</f>
        <v xml:space="preserve"> MAXIMUM CABLE RATING OF ERROR AMPS</v>
      </c>
      <c r="P24" s="228" t="str">
        <f>IF(N18=1,P20,CONCATENATE(P19,P21,P22))</f>
        <v xml:space="preserve"> - FEEDER PER TABLE 310.16 - 75° C</v>
      </c>
      <c r="S24" s="233"/>
      <c r="T24" s="234"/>
      <c r="U24" s="234"/>
      <c r="V24" s="234"/>
      <c r="W24" s="234"/>
      <c r="X24" s="234"/>
      <c r="Y24" s="234"/>
      <c r="Z24" s="234"/>
      <c r="AA24" s="234"/>
      <c r="AB24" s="234"/>
      <c r="AC24" s="234"/>
      <c r="AD24" s="235"/>
      <c r="AF24" s="200"/>
    </row>
    <row r="25" spans="4:37">
      <c r="AF25" s="200"/>
    </row>
    <row r="26" spans="4:37">
      <c r="AF26" s="200"/>
    </row>
    <row r="27" spans="4:37">
      <c r="S27" s="200" t="s">
        <v>324</v>
      </c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F27" s="200"/>
    </row>
    <row r="28" spans="4:37">
      <c r="D28" s="198" t="s">
        <v>322</v>
      </c>
      <c r="E28" s="198" t="str">
        <f>E18</f>
        <v>ERROR</v>
      </c>
      <c r="I28" s="236" t="str">
        <f>CONCATENATE(D28,E28)</f>
        <v xml:space="preserve"> 1-ERROR</v>
      </c>
      <c r="S28" s="203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5"/>
      <c r="AF28" s="206" t="s">
        <v>154</v>
      </c>
      <c r="AG28" s="207"/>
      <c r="AH28" s="207"/>
      <c r="AI28" s="207"/>
      <c r="AJ28" s="207"/>
    </row>
    <row r="29" spans="4:37">
      <c r="D29" s="198" t="str">
        <f>F18</f>
        <v>ERROR</v>
      </c>
      <c r="I29" s="236" t="str">
        <f>CONCATENATE(D29,E29)</f>
        <v>ERROR</v>
      </c>
      <c r="P29" s="198" t="s">
        <v>4</v>
      </c>
      <c r="Q29" s="198">
        <f>B6</f>
        <v>114</v>
      </c>
      <c r="S29" s="209"/>
      <c r="T29" s="210" t="s">
        <v>298</v>
      </c>
      <c r="U29" s="210" t="s">
        <v>122</v>
      </c>
      <c r="V29" s="211" t="s">
        <v>150</v>
      </c>
      <c r="W29" s="211" t="s">
        <v>150</v>
      </c>
      <c r="X29" s="211" t="s">
        <v>128</v>
      </c>
      <c r="Y29" s="212" t="str">
        <f>IF($Q$30=60,AG29,IF($Q$30=75,AH29,IF($Q$30=90,AI29)))</f>
        <v>75 C</v>
      </c>
      <c r="Z29" s="211" t="s">
        <v>150</v>
      </c>
      <c r="AA29" s="210" t="s">
        <v>298</v>
      </c>
      <c r="AB29" s="211" t="s">
        <v>294</v>
      </c>
      <c r="AC29" s="211" t="s">
        <v>221</v>
      </c>
      <c r="AD29" s="213"/>
      <c r="AF29" s="211" t="s">
        <v>150</v>
      </c>
      <c r="AG29" s="211" t="s">
        <v>151</v>
      </c>
      <c r="AH29" s="211" t="s">
        <v>152</v>
      </c>
      <c r="AI29" s="211" t="s">
        <v>153</v>
      </c>
      <c r="AJ29" s="212" t="s">
        <v>538</v>
      </c>
    </row>
    <row r="30" spans="4:37" ht="15">
      <c r="D30" s="198" t="str">
        <f>G18</f>
        <v>ERROR</v>
      </c>
      <c r="I30" s="236" t="str">
        <f>CONCATENATE(D30,E30)</f>
        <v>ERROR</v>
      </c>
      <c r="M30" s="309" t="str">
        <f>CHAR(176)</f>
        <v>°</v>
      </c>
      <c r="P30" s="198" t="s">
        <v>107</v>
      </c>
      <c r="Q30" s="198">
        <f>B7</f>
        <v>75</v>
      </c>
      <c r="S30" s="209"/>
      <c r="T30" s="214" t="s">
        <v>300</v>
      </c>
      <c r="U30" s="214"/>
      <c r="V30" s="215" t="s">
        <v>133</v>
      </c>
      <c r="W30" s="215" t="s">
        <v>133</v>
      </c>
      <c r="X30" s="215" t="s">
        <v>133</v>
      </c>
      <c r="Y30" s="215" t="s">
        <v>4</v>
      </c>
      <c r="Z30" s="215" t="s">
        <v>133</v>
      </c>
      <c r="AA30" s="214" t="s">
        <v>300</v>
      </c>
      <c r="AB30" s="215" t="s">
        <v>296</v>
      </c>
      <c r="AC30" s="215" t="s">
        <v>224</v>
      </c>
      <c r="AD30" s="213"/>
      <c r="AF30" s="215" t="s">
        <v>133</v>
      </c>
      <c r="AG30" s="215" t="s">
        <v>4</v>
      </c>
      <c r="AH30" s="215" t="s">
        <v>4</v>
      </c>
      <c r="AI30" s="215" t="s">
        <v>4</v>
      </c>
      <c r="AJ30" s="224" t="s">
        <v>537</v>
      </c>
    </row>
    <row r="31" spans="4:37">
      <c r="I31" s="229" t="s">
        <v>66</v>
      </c>
      <c r="S31" s="209"/>
      <c r="T31" s="217"/>
      <c r="U31" s="217"/>
      <c r="V31" s="215" t="s">
        <v>156</v>
      </c>
      <c r="W31" s="215"/>
      <c r="X31" s="215"/>
      <c r="Y31" s="215" t="s">
        <v>159</v>
      </c>
      <c r="Z31" s="215" t="s">
        <v>30</v>
      </c>
      <c r="AA31" s="217"/>
      <c r="AB31" s="218"/>
      <c r="AC31" s="218" t="s">
        <v>159</v>
      </c>
      <c r="AD31" s="213"/>
      <c r="AF31" s="215" t="s">
        <v>156</v>
      </c>
      <c r="AG31" s="215" t="s">
        <v>159</v>
      </c>
      <c r="AH31" s="215" t="s">
        <v>159</v>
      </c>
      <c r="AI31" s="215" t="s">
        <v>159</v>
      </c>
      <c r="AJ31" s="217"/>
    </row>
    <row r="32" spans="4:37">
      <c r="I32" s="229" t="s">
        <v>66</v>
      </c>
      <c r="S32" s="209"/>
      <c r="T32" s="210">
        <v>100</v>
      </c>
      <c r="U32" s="210">
        <v>0</v>
      </c>
      <c r="V32" s="220" t="s">
        <v>305</v>
      </c>
      <c r="W32" s="220" t="s">
        <v>158</v>
      </c>
      <c r="X32" s="220" t="s">
        <v>158</v>
      </c>
      <c r="Y32" s="212">
        <f t="shared" ref="Y32:Y40" si="6">IF($Q$30=60,AG32,IF($Q$30=75,AH32,IF($Q$30=90,AI32)))</f>
        <v>65</v>
      </c>
      <c r="Z32" s="210">
        <v>5</v>
      </c>
      <c r="AA32" s="210">
        <v>100</v>
      </c>
      <c r="AB32" s="210">
        <v>2433</v>
      </c>
      <c r="AC32" s="213">
        <v>0.49099999999999999</v>
      </c>
      <c r="AD32" s="213"/>
      <c r="AF32" s="211" t="s">
        <v>158</v>
      </c>
      <c r="AG32" s="211">
        <v>55</v>
      </c>
      <c r="AH32" s="211">
        <v>65</v>
      </c>
      <c r="AI32" s="211">
        <v>75</v>
      </c>
      <c r="AJ32" s="210"/>
    </row>
    <row r="33" spans="19:43">
      <c r="S33" s="209"/>
      <c r="T33" s="214">
        <v>101</v>
      </c>
      <c r="U33" s="214">
        <f t="shared" ref="U33:U41" si="7">Y32+0.0000001</f>
        <v>65.000000099999994</v>
      </c>
      <c r="V33" s="223" t="s">
        <v>307</v>
      </c>
      <c r="W33" s="223" t="s">
        <v>161</v>
      </c>
      <c r="X33" s="223" t="s">
        <v>158</v>
      </c>
      <c r="Y33" s="224">
        <f t="shared" si="6"/>
        <v>100</v>
      </c>
      <c r="Z33" s="214">
        <v>6</v>
      </c>
      <c r="AA33" s="214">
        <v>101</v>
      </c>
      <c r="AB33" s="214">
        <v>3838</v>
      </c>
      <c r="AC33" s="213">
        <v>0.308</v>
      </c>
      <c r="AD33" s="213"/>
      <c r="AF33" s="215" t="s">
        <v>161</v>
      </c>
      <c r="AG33" s="215">
        <f>IF($B$2="YES",AJ33,70)</f>
        <v>100</v>
      </c>
      <c r="AH33" s="215">
        <f>IF($B$2="YES",AJ33,85)</f>
        <v>100</v>
      </c>
      <c r="AI33" s="215">
        <f>IF($B$2="YES",AJ33,95)</f>
        <v>100</v>
      </c>
      <c r="AJ33" s="214">
        <v>100</v>
      </c>
      <c r="AL33" s="198">
        <f>IF(Q$30=60,IF(AND($B$2="YES",$T$43=$T33),1,0),0)</f>
        <v>0</v>
      </c>
      <c r="AM33" s="198">
        <f>IF(Q$30=75,IF(AND($B$2="YES",$T$43=$T33),1,0),0)</f>
        <v>0</v>
      </c>
      <c r="AN33" s="198">
        <f>IF(Q$30=90,IF(AND($B$2="YES",$T$43=$T33),1,0),0)</f>
        <v>0</v>
      </c>
    </row>
    <row r="34" spans="19:43">
      <c r="S34" s="209"/>
      <c r="T34" s="214">
        <v>102</v>
      </c>
      <c r="U34" s="214">
        <f t="shared" si="7"/>
        <v>100.00000009999999</v>
      </c>
      <c r="V34" s="223" t="s">
        <v>325</v>
      </c>
      <c r="W34" s="223" t="s">
        <v>163</v>
      </c>
      <c r="X34" s="223" t="s">
        <v>326</v>
      </c>
      <c r="Y34" s="224">
        <f t="shared" si="6"/>
        <v>110</v>
      </c>
      <c r="Z34" s="214">
        <v>7</v>
      </c>
      <c r="AA34" s="214">
        <v>102</v>
      </c>
      <c r="AB34" s="214">
        <v>4833</v>
      </c>
      <c r="AC34" s="213">
        <v>0.245</v>
      </c>
      <c r="AD34" s="213"/>
      <c r="AF34" s="215" t="s">
        <v>163</v>
      </c>
      <c r="AG34" s="215">
        <f>IF($B$2="YES",AJ34,85)</f>
        <v>110</v>
      </c>
      <c r="AH34" s="215">
        <f>IF($B$2="YES",AJ34,100)</f>
        <v>110</v>
      </c>
      <c r="AI34" s="215">
        <v>110</v>
      </c>
      <c r="AJ34" s="214">
        <v>110</v>
      </c>
      <c r="AL34" s="198">
        <f t="shared" ref="AL34:AL40" si="8">IF(Q$30=60,IF(AND($B$2="YES",$T$43=$T34),1,0),0)</f>
        <v>0</v>
      </c>
      <c r="AM34" s="198">
        <f t="shared" ref="AM34:AM40" si="9">IF(Q$30=75,IF(AND($B$2="YES",$T$43=$T34),1,0),0)</f>
        <v>0</v>
      </c>
    </row>
    <row r="35" spans="19:43">
      <c r="S35" s="209"/>
      <c r="T35" s="214">
        <v>103</v>
      </c>
      <c r="U35" s="214">
        <f t="shared" si="7"/>
        <v>110.00000009999999</v>
      </c>
      <c r="V35" s="223" t="s">
        <v>309</v>
      </c>
      <c r="W35" s="223" t="s">
        <v>162</v>
      </c>
      <c r="X35" s="223" t="s">
        <v>161</v>
      </c>
      <c r="Y35" s="224">
        <f t="shared" si="6"/>
        <v>125</v>
      </c>
      <c r="Z35" s="214">
        <v>8</v>
      </c>
      <c r="AA35" s="214">
        <v>103</v>
      </c>
      <c r="AB35" s="214">
        <v>6087</v>
      </c>
      <c r="AC35" s="213">
        <v>0.19400000000000001</v>
      </c>
      <c r="AD35" s="213"/>
      <c r="AF35" s="215" t="s">
        <v>162</v>
      </c>
      <c r="AG35" s="215">
        <f>IF($B$2="YES",AJ35,95)</f>
        <v>125</v>
      </c>
      <c r="AH35" s="215">
        <f>IF($B$2="YES",AJ35,115)</f>
        <v>125</v>
      </c>
      <c r="AI35" s="215">
        <v>130</v>
      </c>
      <c r="AJ35" s="214">
        <v>125</v>
      </c>
      <c r="AL35" s="198">
        <f t="shared" si="8"/>
        <v>0</v>
      </c>
      <c r="AM35" s="198">
        <f t="shared" si="9"/>
        <v>1</v>
      </c>
    </row>
    <row r="36" spans="19:43">
      <c r="S36" s="209"/>
      <c r="T36" s="214">
        <v>104</v>
      </c>
      <c r="U36" s="214">
        <f t="shared" si="7"/>
        <v>125.00000009999999</v>
      </c>
      <c r="V36" s="223" t="s">
        <v>311</v>
      </c>
      <c r="W36" s="223" t="s">
        <v>164</v>
      </c>
      <c r="X36" s="223" t="s">
        <v>163</v>
      </c>
      <c r="Y36" s="224">
        <f t="shared" si="6"/>
        <v>150</v>
      </c>
      <c r="Z36" s="214">
        <v>9</v>
      </c>
      <c r="AA36" s="214">
        <v>104</v>
      </c>
      <c r="AB36" s="214">
        <v>7579</v>
      </c>
      <c r="AC36" s="213">
        <v>0.154</v>
      </c>
      <c r="AD36" s="213"/>
      <c r="AF36" s="215" t="s">
        <v>164</v>
      </c>
      <c r="AG36" s="215">
        <f>IF($B$2="YES",AJ36,110)</f>
        <v>150</v>
      </c>
      <c r="AH36" s="215">
        <f>IF($B$2="YES",AJ36,130)</f>
        <v>150</v>
      </c>
      <c r="AI36" s="215">
        <v>150</v>
      </c>
      <c r="AJ36" s="214">
        <v>150</v>
      </c>
      <c r="AL36" s="198">
        <f t="shared" si="8"/>
        <v>0</v>
      </c>
      <c r="AM36" s="198">
        <f t="shared" si="9"/>
        <v>0</v>
      </c>
    </row>
    <row r="37" spans="19:43">
      <c r="S37" s="209"/>
      <c r="T37" s="214">
        <v>105</v>
      </c>
      <c r="U37" s="214">
        <f t="shared" si="7"/>
        <v>150.00000009999999</v>
      </c>
      <c r="V37" s="223" t="s">
        <v>313</v>
      </c>
      <c r="W37" s="223" t="s">
        <v>165</v>
      </c>
      <c r="X37" s="223" t="s">
        <v>162</v>
      </c>
      <c r="Y37" s="224">
        <f t="shared" si="6"/>
        <v>175</v>
      </c>
      <c r="Z37" s="214">
        <v>10</v>
      </c>
      <c r="AA37" s="214">
        <v>105</v>
      </c>
      <c r="AB37" s="214">
        <v>9473</v>
      </c>
      <c r="AC37" s="213">
        <v>0.122</v>
      </c>
      <c r="AD37" s="213"/>
      <c r="AF37" s="215" t="s">
        <v>165</v>
      </c>
      <c r="AG37" s="215">
        <f>IF($B$2="YES",AJ37,125)</f>
        <v>175</v>
      </c>
      <c r="AH37" s="215">
        <f>IF($B$2="YES",AJ37,150)</f>
        <v>175</v>
      </c>
      <c r="AI37" s="215">
        <f>IF($B$2="YES",AJ37,170)</f>
        <v>175</v>
      </c>
      <c r="AJ37" s="214">
        <v>175</v>
      </c>
      <c r="AL37" s="198">
        <f t="shared" si="8"/>
        <v>0</v>
      </c>
      <c r="AM37" s="198">
        <f t="shared" si="9"/>
        <v>0</v>
      </c>
      <c r="AN37" s="198">
        <f>IF(Q$30=90,IF(AND($B$2="YES",$T$43=$T37),1,0),0)</f>
        <v>0</v>
      </c>
    </row>
    <row r="38" spans="19:43">
      <c r="S38" s="209"/>
      <c r="T38" s="214">
        <v>106</v>
      </c>
      <c r="U38" s="214">
        <f t="shared" si="7"/>
        <v>175.00000009999999</v>
      </c>
      <c r="V38" s="223" t="s">
        <v>314</v>
      </c>
      <c r="W38" s="223" t="s">
        <v>166</v>
      </c>
      <c r="X38" s="223" t="s">
        <v>164</v>
      </c>
      <c r="Y38" s="224">
        <f t="shared" si="6"/>
        <v>200</v>
      </c>
      <c r="Z38" s="214">
        <v>11</v>
      </c>
      <c r="AA38" s="214">
        <v>106</v>
      </c>
      <c r="AB38" s="214">
        <v>11703</v>
      </c>
      <c r="AC38" s="213">
        <v>9.6699999999999994E-2</v>
      </c>
      <c r="AD38" s="213"/>
      <c r="AF38" s="215" t="s">
        <v>166</v>
      </c>
      <c r="AG38" s="215">
        <f>IF($B$2="YES",AJ38,145)</f>
        <v>200</v>
      </c>
      <c r="AH38" s="215">
        <f>IF($B$2="YES",AJ38,175)</f>
        <v>200</v>
      </c>
      <c r="AI38" s="215">
        <f>IF($B$2="YES",AJ38,195)</f>
        <v>200</v>
      </c>
      <c r="AJ38" s="214">
        <v>200</v>
      </c>
      <c r="AL38" s="198">
        <f t="shared" si="8"/>
        <v>0</v>
      </c>
      <c r="AM38" s="198">
        <f t="shared" si="9"/>
        <v>0</v>
      </c>
      <c r="AN38" s="198">
        <f>IF(Q$30=90,IF(AND($B$2="YES",$T$43=$T38),1,0),0)</f>
        <v>0</v>
      </c>
    </row>
    <row r="39" spans="19:43">
      <c r="S39" s="209"/>
      <c r="T39" s="214">
        <v>107</v>
      </c>
      <c r="U39" s="214">
        <f t="shared" si="7"/>
        <v>200.00000009999999</v>
      </c>
      <c r="V39" s="223" t="s">
        <v>315</v>
      </c>
      <c r="W39" s="223" t="s">
        <v>169</v>
      </c>
      <c r="X39" s="223" t="s">
        <v>165</v>
      </c>
      <c r="Y39" s="224">
        <f t="shared" si="6"/>
        <v>225</v>
      </c>
      <c r="Z39" s="214">
        <v>12</v>
      </c>
      <c r="AA39" s="214">
        <v>107</v>
      </c>
      <c r="AB39" s="214">
        <v>14410</v>
      </c>
      <c r="AC39" s="213">
        <v>7.6600000000000001E-2</v>
      </c>
      <c r="AD39" s="213"/>
      <c r="AF39" s="215" t="s">
        <v>169</v>
      </c>
      <c r="AG39" s="215">
        <f>IF($B$2="YES",AJ39,165)</f>
        <v>225</v>
      </c>
      <c r="AH39" s="215">
        <f>IF($B$2="YES",AJ39,200)</f>
        <v>225</v>
      </c>
      <c r="AI39" s="215">
        <v>225</v>
      </c>
      <c r="AJ39" s="214">
        <v>225</v>
      </c>
      <c r="AL39" s="198">
        <f t="shared" si="8"/>
        <v>0</v>
      </c>
      <c r="AM39" s="198">
        <f t="shared" si="9"/>
        <v>0</v>
      </c>
    </row>
    <row r="40" spans="19:43">
      <c r="S40" s="209"/>
      <c r="T40" s="214">
        <v>108</v>
      </c>
      <c r="U40" s="214">
        <f t="shared" si="7"/>
        <v>225.00000009999999</v>
      </c>
      <c r="V40" s="223" t="s">
        <v>316</v>
      </c>
      <c r="W40" s="223" t="s">
        <v>170</v>
      </c>
      <c r="X40" s="223" t="s">
        <v>166</v>
      </c>
      <c r="Y40" s="224">
        <f t="shared" si="6"/>
        <v>250</v>
      </c>
      <c r="Z40" s="214">
        <v>13</v>
      </c>
      <c r="AA40" s="214">
        <v>108</v>
      </c>
      <c r="AB40" s="214">
        <v>17483</v>
      </c>
      <c r="AC40" s="213">
        <v>6.08E-2</v>
      </c>
      <c r="AD40" s="213"/>
      <c r="AF40" s="218" t="s">
        <v>170</v>
      </c>
      <c r="AG40" s="218">
        <f>IF($B$2="YES",AJ40,195)</f>
        <v>250</v>
      </c>
      <c r="AH40" s="218">
        <f>IF($B$2="YES",AJ40,230)</f>
        <v>250</v>
      </c>
      <c r="AI40" s="218">
        <v>260</v>
      </c>
      <c r="AJ40" s="217">
        <v>250</v>
      </c>
      <c r="AL40" s="198">
        <f t="shared" si="8"/>
        <v>0</v>
      </c>
      <c r="AM40" s="198">
        <f t="shared" si="9"/>
        <v>0</v>
      </c>
      <c r="AQ40" s="198">
        <f>SUM(AL33:AN40)</f>
        <v>1</v>
      </c>
    </row>
    <row r="41" spans="19:43">
      <c r="S41" s="209"/>
      <c r="T41" s="217">
        <v>109</v>
      </c>
      <c r="U41" s="217">
        <f t="shared" si="7"/>
        <v>250.00000009999999</v>
      </c>
      <c r="V41" s="225" t="s">
        <v>317</v>
      </c>
      <c r="W41" s="225" t="s">
        <v>317</v>
      </c>
      <c r="X41" s="225" t="s">
        <v>317</v>
      </c>
      <c r="Y41" s="226">
        <f>Y40</f>
        <v>250</v>
      </c>
      <c r="Z41" s="217" t="s">
        <v>317</v>
      </c>
      <c r="AA41" s="217">
        <v>109</v>
      </c>
      <c r="AB41" s="227" t="s">
        <v>317</v>
      </c>
      <c r="AC41" s="227" t="s">
        <v>317</v>
      </c>
      <c r="AD41" s="213"/>
      <c r="AF41" s="200"/>
    </row>
    <row r="42" spans="19:43">
      <c r="S42" s="209"/>
      <c r="T42" s="200"/>
      <c r="U42" s="200"/>
      <c r="V42" s="230"/>
      <c r="W42" s="230"/>
      <c r="X42" s="230"/>
      <c r="Y42" s="200"/>
      <c r="Z42" s="200"/>
      <c r="AA42" s="200"/>
      <c r="AB42" s="200"/>
      <c r="AC42" s="200"/>
      <c r="AD42" s="213"/>
      <c r="AF42" s="200"/>
    </row>
    <row r="43" spans="19:43">
      <c r="S43" s="209"/>
      <c r="T43" s="200">
        <f>VLOOKUP(AA43,T32:AA41,1)</f>
        <v>103</v>
      </c>
      <c r="U43" s="200"/>
      <c r="V43" s="200" t="str">
        <f>VLOOKUP(Q29,U32:AB41,2)</f>
        <v>2-2-2-4</v>
      </c>
      <c r="W43" s="200" t="str">
        <f>VLOOKUP(Q29,U32:AB41,3)</f>
        <v>#2</v>
      </c>
      <c r="X43" s="200" t="str">
        <f>VLOOKUP(Q29,U32:AB41,4)</f>
        <v>#4</v>
      </c>
      <c r="Y43" s="200">
        <f>VLOOKUP(Q29,U32:AB41,5)</f>
        <v>125</v>
      </c>
      <c r="Z43" s="200">
        <f>VLOOKUP(Q29,U32:AB41,6)</f>
        <v>8</v>
      </c>
      <c r="AA43" s="200">
        <f>VLOOKUP(Q29,U32:AB41,7)</f>
        <v>103</v>
      </c>
      <c r="AB43" s="200">
        <f>VLOOKUP(Q29,U32:AB41,8)</f>
        <v>6087</v>
      </c>
      <c r="AC43" s="200">
        <f>VLOOKUP(Q29,U32:AC41,9)</f>
        <v>0.19400000000000001</v>
      </c>
      <c r="AD43" s="213"/>
      <c r="AF43" s="200"/>
    </row>
    <row r="44" spans="19:43">
      <c r="S44" s="209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  <c r="AD44" s="213"/>
      <c r="AF44" s="200"/>
    </row>
    <row r="45" spans="19:43">
      <c r="S45" s="209"/>
      <c r="T45" s="200"/>
      <c r="U45" s="200"/>
      <c r="V45" s="200" t="s">
        <v>318</v>
      </c>
      <c r="W45" s="200"/>
      <c r="X45" s="200"/>
      <c r="Y45" s="200"/>
      <c r="Z45" s="200"/>
      <c r="AA45" s="200" t="str">
        <f>CONCATENATE(V45,W45,X45,Y45)</f>
        <v xml:space="preserve"> SER CABLE</v>
      </c>
      <c r="AB45" s="200"/>
      <c r="AC45" s="200"/>
      <c r="AD45" s="213"/>
      <c r="AF45" s="200"/>
    </row>
    <row r="46" spans="19:43">
      <c r="S46" s="209"/>
      <c r="T46" s="200"/>
      <c r="U46" s="200"/>
      <c r="V46" s="200" t="s">
        <v>319</v>
      </c>
      <c r="W46" s="200" t="str">
        <f>W43</f>
        <v>#2</v>
      </c>
      <c r="X46" s="200" t="s">
        <v>327</v>
      </c>
      <c r="Y46" s="200" t="s">
        <v>66</v>
      </c>
      <c r="Z46" s="200" t="s">
        <v>66</v>
      </c>
      <c r="AA46" s="200" t="str">
        <f>CONCATENATE(V46,W46,X46,Y46,Z46)</f>
        <v xml:space="preserve"> 3-#2 CU  </v>
      </c>
      <c r="AB46" s="200"/>
      <c r="AC46" s="200"/>
      <c r="AD46" s="213"/>
      <c r="AF46" s="200"/>
    </row>
    <row r="47" spans="19:43">
      <c r="S47" s="209"/>
      <c r="T47" s="200"/>
      <c r="U47" s="200"/>
      <c r="V47" s="200" t="s">
        <v>322</v>
      </c>
      <c r="W47" s="200" t="str">
        <f>X43</f>
        <v>#4</v>
      </c>
      <c r="X47" s="200" t="s">
        <v>247</v>
      </c>
      <c r="Y47" s="200"/>
      <c r="Z47" s="200"/>
      <c r="AA47" s="200" t="str">
        <f>CONCATENATE(V47,W47,X47,Y47,Z47)</f>
        <v xml:space="preserve"> 1-#4 GND</v>
      </c>
      <c r="AB47" s="200"/>
      <c r="AC47" s="200"/>
      <c r="AD47" s="213"/>
      <c r="AK47" s="207"/>
    </row>
    <row r="48" spans="19:43">
      <c r="S48" s="233"/>
      <c r="T48" s="234"/>
      <c r="U48" s="234"/>
      <c r="V48" s="234"/>
      <c r="W48" s="234"/>
      <c r="X48" s="234"/>
      <c r="Y48" s="234"/>
      <c r="Z48" s="234"/>
      <c r="AA48" s="234"/>
      <c r="AB48" s="234"/>
      <c r="AC48" s="234"/>
      <c r="AD48" s="235"/>
    </row>
    <row r="52" spans="16:39">
      <c r="S52" s="200" t="s">
        <v>328</v>
      </c>
      <c r="T52" s="200"/>
      <c r="U52" s="200"/>
      <c r="V52" s="200"/>
      <c r="W52" s="200"/>
      <c r="X52" s="200"/>
      <c r="Y52" s="200"/>
      <c r="Z52" s="200"/>
      <c r="AA52" s="200"/>
      <c r="AB52" s="200"/>
      <c r="AC52" s="200"/>
    </row>
    <row r="53" spans="16:39">
      <c r="S53" s="203"/>
      <c r="T53" s="204"/>
      <c r="U53" s="204"/>
      <c r="V53" s="204"/>
      <c r="W53" s="204"/>
      <c r="X53" s="204"/>
      <c r="Y53" s="204"/>
      <c r="Z53" s="204"/>
      <c r="AA53" s="204"/>
      <c r="AB53" s="204"/>
      <c r="AC53" s="204"/>
      <c r="AD53" s="205"/>
      <c r="AF53" s="206" t="s">
        <v>154</v>
      </c>
      <c r="AG53" s="207"/>
      <c r="AH53" s="207"/>
      <c r="AI53" s="207"/>
      <c r="AJ53" s="207"/>
    </row>
    <row r="54" spans="16:39">
      <c r="P54" s="198" t="s">
        <v>4</v>
      </c>
      <c r="Q54" s="198">
        <f>B6</f>
        <v>114</v>
      </c>
      <c r="S54" s="209"/>
      <c r="T54" s="210" t="s">
        <v>298</v>
      </c>
      <c r="U54" s="210" t="s">
        <v>122</v>
      </c>
      <c r="V54" s="211" t="s">
        <v>150</v>
      </c>
      <c r="W54" s="211" t="s">
        <v>150</v>
      </c>
      <c r="X54" s="211" t="s">
        <v>128</v>
      </c>
      <c r="Y54" s="212" t="str">
        <f>IF($Q$55=60,AG54,IF($Q$55=75,AH54,IF($Q$55=90,AI54)))</f>
        <v>75 C</v>
      </c>
      <c r="Z54" s="211" t="s">
        <v>150</v>
      </c>
      <c r="AA54" s="210" t="s">
        <v>298</v>
      </c>
      <c r="AB54" s="211" t="s">
        <v>294</v>
      </c>
      <c r="AC54" s="211" t="s">
        <v>221</v>
      </c>
      <c r="AD54" s="213"/>
      <c r="AF54" s="211" t="s">
        <v>150</v>
      </c>
      <c r="AG54" s="211" t="s">
        <v>151</v>
      </c>
      <c r="AH54" s="211" t="s">
        <v>152</v>
      </c>
      <c r="AI54" s="211" t="s">
        <v>153</v>
      </c>
      <c r="AJ54" s="212" t="s">
        <v>538</v>
      </c>
    </row>
    <row r="55" spans="16:39">
      <c r="P55" s="198" t="s">
        <v>329</v>
      </c>
      <c r="Q55" s="198">
        <f>B7</f>
        <v>75</v>
      </c>
      <c r="S55" s="209"/>
      <c r="T55" s="214" t="s">
        <v>300</v>
      </c>
      <c r="U55" s="214"/>
      <c r="V55" s="215" t="s">
        <v>133</v>
      </c>
      <c r="W55" s="215" t="s">
        <v>133</v>
      </c>
      <c r="X55" s="215" t="s">
        <v>133</v>
      </c>
      <c r="Y55" s="215" t="s">
        <v>4</v>
      </c>
      <c r="Z55" s="215" t="s">
        <v>133</v>
      </c>
      <c r="AA55" s="214" t="s">
        <v>300</v>
      </c>
      <c r="AB55" s="215" t="s">
        <v>296</v>
      </c>
      <c r="AC55" s="215" t="s">
        <v>224</v>
      </c>
      <c r="AD55" s="213"/>
      <c r="AF55" s="215" t="s">
        <v>133</v>
      </c>
      <c r="AG55" s="215" t="s">
        <v>4</v>
      </c>
      <c r="AH55" s="215" t="s">
        <v>4</v>
      </c>
      <c r="AI55" s="215" t="s">
        <v>4</v>
      </c>
      <c r="AJ55" s="224" t="s">
        <v>537</v>
      </c>
    </row>
    <row r="56" spans="16:39">
      <c r="S56" s="209"/>
      <c r="T56" s="217"/>
      <c r="U56" s="217"/>
      <c r="V56" s="215" t="s">
        <v>156</v>
      </c>
      <c r="W56" s="215"/>
      <c r="X56" s="215"/>
      <c r="Y56" s="215" t="s">
        <v>160</v>
      </c>
      <c r="Z56" s="215" t="s">
        <v>30</v>
      </c>
      <c r="AA56" s="217"/>
      <c r="AB56" s="218"/>
      <c r="AC56" s="218" t="s">
        <v>160</v>
      </c>
      <c r="AD56" s="213"/>
      <c r="AF56" s="215" t="s">
        <v>156</v>
      </c>
      <c r="AG56" s="215" t="s">
        <v>160</v>
      </c>
      <c r="AH56" s="215" t="s">
        <v>160</v>
      </c>
      <c r="AI56" s="215" t="s">
        <v>160</v>
      </c>
      <c r="AJ56" s="217"/>
    </row>
    <row r="57" spans="16:39">
      <c r="S57" s="209"/>
      <c r="T57" s="210">
        <v>100</v>
      </c>
      <c r="U57" s="210">
        <v>0</v>
      </c>
      <c r="V57" s="220" t="s">
        <v>330</v>
      </c>
      <c r="W57" s="220" t="s">
        <v>158</v>
      </c>
      <c r="X57" s="220" t="s">
        <v>158</v>
      </c>
      <c r="Y57" s="212">
        <f t="shared" ref="Y57:Y66" si="10">IF($Q$55=60,AG57,IF($Q$55=75,AH57,IF($Q$55=90,AI57)))</f>
        <v>50</v>
      </c>
      <c r="Z57" s="210">
        <v>5</v>
      </c>
      <c r="AA57" s="210">
        <v>100</v>
      </c>
      <c r="AB57" s="210">
        <v>1482</v>
      </c>
      <c r="AC57" s="213">
        <v>0.80800000000000005</v>
      </c>
      <c r="AD57" s="213"/>
      <c r="AF57" s="211" t="s">
        <v>158</v>
      </c>
      <c r="AG57" s="211">
        <v>40</v>
      </c>
      <c r="AH57" s="211">
        <v>50</v>
      </c>
      <c r="AI57" s="211">
        <v>60</v>
      </c>
      <c r="AJ57" s="210"/>
    </row>
    <row r="58" spans="16:39">
      <c r="S58" s="209"/>
      <c r="T58" s="214">
        <v>101</v>
      </c>
      <c r="U58" s="214">
        <f t="shared" ref="U58:U67" si="11">Y57+0.0000001</f>
        <v>50.000000100000001</v>
      </c>
      <c r="V58" s="223" t="s">
        <v>331</v>
      </c>
      <c r="W58" s="223" t="s">
        <v>161</v>
      </c>
      <c r="X58" s="223" t="s">
        <v>158</v>
      </c>
      <c r="Y58" s="224">
        <f t="shared" si="10"/>
        <v>65</v>
      </c>
      <c r="Z58" s="214">
        <v>6</v>
      </c>
      <c r="AA58" s="214">
        <v>101</v>
      </c>
      <c r="AB58" s="214">
        <v>2353</v>
      </c>
      <c r="AC58" s="213">
        <v>0.50800000000000001</v>
      </c>
      <c r="AD58" s="213"/>
      <c r="AF58" s="215" t="s">
        <v>161</v>
      </c>
      <c r="AG58" s="215">
        <v>55</v>
      </c>
      <c r="AH58" s="215">
        <v>65</v>
      </c>
      <c r="AI58" s="215">
        <v>75</v>
      </c>
      <c r="AJ58" s="214"/>
    </row>
    <row r="59" spans="16:39">
      <c r="S59" s="209"/>
      <c r="T59" s="214">
        <v>102</v>
      </c>
      <c r="U59" s="214">
        <f t="shared" si="11"/>
        <v>65.000000099999994</v>
      </c>
      <c r="V59" s="223" t="s">
        <v>332</v>
      </c>
      <c r="W59" s="223" t="s">
        <v>162</v>
      </c>
      <c r="X59" s="223" t="s">
        <v>161</v>
      </c>
      <c r="Y59" s="224">
        <f t="shared" si="10"/>
        <v>100</v>
      </c>
      <c r="Z59" s="214">
        <v>8</v>
      </c>
      <c r="AA59" s="214">
        <v>102</v>
      </c>
      <c r="AB59" s="214">
        <v>3740</v>
      </c>
      <c r="AC59" s="213">
        <v>0.31900000000000001</v>
      </c>
      <c r="AD59" s="213"/>
      <c r="AF59" s="215" t="s">
        <v>162</v>
      </c>
      <c r="AG59" s="215">
        <f>IF($B$2="YES",AJ59,75)</f>
        <v>100</v>
      </c>
      <c r="AH59" s="215">
        <f>IF($B$2="YES",AJ59,90)</f>
        <v>100</v>
      </c>
      <c r="AI59" s="215">
        <v>100</v>
      </c>
      <c r="AJ59" s="214">
        <v>100</v>
      </c>
      <c r="AL59" s="198">
        <f>IF(Q$55=60,IF(AND($B$2="YES",$T$69=$T59),1,0),0)</f>
        <v>0</v>
      </c>
      <c r="AM59" s="198">
        <f>IF(Q$55=75,IF(AND($B$2="YES",$T$69=$T59),1,0),0)</f>
        <v>0</v>
      </c>
    </row>
    <row r="60" spans="16:39">
      <c r="S60" s="209"/>
      <c r="T60" s="214">
        <v>103</v>
      </c>
      <c r="U60" s="214">
        <f t="shared" si="11"/>
        <v>100.00000009999999</v>
      </c>
      <c r="V60" s="223" t="s">
        <v>333</v>
      </c>
      <c r="W60" s="223" t="s">
        <v>164</v>
      </c>
      <c r="X60" s="223" t="s">
        <v>163</v>
      </c>
      <c r="Y60" s="224">
        <f t="shared" si="10"/>
        <v>110</v>
      </c>
      <c r="Z60" s="214">
        <v>9</v>
      </c>
      <c r="AA60" s="214">
        <v>103</v>
      </c>
      <c r="AB60" s="214">
        <v>4699</v>
      </c>
      <c r="AC60" s="213">
        <v>0.253</v>
      </c>
      <c r="AD60" s="213"/>
      <c r="AF60" s="215" t="s">
        <v>164</v>
      </c>
      <c r="AG60" s="215">
        <f>IF($B$2="YES",AJ60,85)</f>
        <v>110</v>
      </c>
      <c r="AH60" s="215">
        <f>IF($B$2="YES",AJ60,100)</f>
        <v>110</v>
      </c>
      <c r="AI60" s="215">
        <v>115</v>
      </c>
      <c r="AJ60" s="214">
        <v>110</v>
      </c>
      <c r="AL60" s="198">
        <f t="shared" ref="AL60:AL66" si="12">IF(Q$55=60,IF(AND($B$2="YES",$T$69=$T60),1,0),0)</f>
        <v>0</v>
      </c>
      <c r="AM60" s="198">
        <f t="shared" ref="AM60:AM66" si="13">IF(Q$55=75,IF(AND($B$2="YES",$T$69=$T60),1,0),0)</f>
        <v>0</v>
      </c>
    </row>
    <row r="61" spans="16:39">
      <c r="S61" s="209"/>
      <c r="T61" s="214">
        <v>104</v>
      </c>
      <c r="U61" s="214">
        <f t="shared" si="11"/>
        <v>110.00000009999999</v>
      </c>
      <c r="V61" s="223" t="s">
        <v>334</v>
      </c>
      <c r="W61" s="223" t="s">
        <v>165</v>
      </c>
      <c r="X61" s="223" t="s">
        <v>162</v>
      </c>
      <c r="Y61" s="224">
        <f t="shared" si="10"/>
        <v>125</v>
      </c>
      <c r="Z61" s="214">
        <v>10</v>
      </c>
      <c r="AA61" s="214">
        <v>104</v>
      </c>
      <c r="AB61" s="214">
        <v>5876</v>
      </c>
      <c r="AC61" s="213">
        <v>0.20100000000000001</v>
      </c>
      <c r="AD61" s="213"/>
      <c r="AF61" s="215" t="s">
        <v>165</v>
      </c>
      <c r="AG61" s="215">
        <f>IF($B$2="YES",AJ61,100)</f>
        <v>125</v>
      </c>
      <c r="AH61" s="215">
        <f>IF($B$2="YES",AJ61,120)</f>
        <v>125</v>
      </c>
      <c r="AI61" s="215">
        <v>135</v>
      </c>
      <c r="AJ61" s="214">
        <v>125</v>
      </c>
      <c r="AL61" s="198">
        <f t="shared" si="12"/>
        <v>0</v>
      </c>
      <c r="AM61" s="198">
        <f t="shared" si="13"/>
        <v>1</v>
      </c>
    </row>
    <row r="62" spans="16:39">
      <c r="S62" s="209"/>
      <c r="T62" s="214">
        <v>105</v>
      </c>
      <c r="U62" s="214">
        <f t="shared" si="11"/>
        <v>125.00000009999999</v>
      </c>
      <c r="V62" s="223" t="s">
        <v>335</v>
      </c>
      <c r="W62" s="223" t="s">
        <v>166</v>
      </c>
      <c r="X62" s="223" t="s">
        <v>164</v>
      </c>
      <c r="Y62" s="224">
        <f t="shared" si="10"/>
        <v>150</v>
      </c>
      <c r="Z62" s="214">
        <v>11</v>
      </c>
      <c r="AA62" s="214">
        <v>105</v>
      </c>
      <c r="AB62" s="214">
        <v>7373</v>
      </c>
      <c r="AC62" s="213">
        <v>0.159</v>
      </c>
      <c r="AD62" s="213"/>
      <c r="AF62" s="215" t="s">
        <v>166</v>
      </c>
      <c r="AG62" s="215">
        <f>IF($B$2="YES",AJ62,115)</f>
        <v>150</v>
      </c>
      <c r="AH62" s="215">
        <f>IF($B$2="YES",AJ62,135)</f>
        <v>150</v>
      </c>
      <c r="AI62" s="215">
        <v>150</v>
      </c>
      <c r="AJ62" s="214">
        <v>150</v>
      </c>
      <c r="AL62" s="198">
        <f t="shared" si="12"/>
        <v>0</v>
      </c>
      <c r="AM62" s="198">
        <f t="shared" si="13"/>
        <v>0</v>
      </c>
    </row>
    <row r="63" spans="16:39">
      <c r="S63" s="209"/>
      <c r="T63" s="214">
        <v>106</v>
      </c>
      <c r="U63" s="214">
        <f t="shared" si="11"/>
        <v>150.00000009999999</v>
      </c>
      <c r="V63" s="223" t="s">
        <v>336</v>
      </c>
      <c r="W63" s="223" t="s">
        <v>169</v>
      </c>
      <c r="X63" s="223" t="s">
        <v>165</v>
      </c>
      <c r="Y63" s="224">
        <f t="shared" si="10"/>
        <v>175</v>
      </c>
      <c r="Z63" s="214">
        <v>12</v>
      </c>
      <c r="AA63" s="214">
        <v>106</v>
      </c>
      <c r="AB63" s="214">
        <v>9243</v>
      </c>
      <c r="AC63" s="213">
        <v>0.126</v>
      </c>
      <c r="AD63" s="213"/>
      <c r="AF63" s="215" t="s">
        <v>169</v>
      </c>
      <c r="AG63" s="215">
        <f>IF($B$2="YES",AJ63,130)</f>
        <v>175</v>
      </c>
      <c r="AH63" s="215">
        <f>IF($B$2="YES",AJ63,155)</f>
        <v>175</v>
      </c>
      <c r="AI63" s="215">
        <v>175</v>
      </c>
      <c r="AJ63" s="214">
        <v>175</v>
      </c>
      <c r="AL63" s="198">
        <f t="shared" si="12"/>
        <v>0</v>
      </c>
      <c r="AM63" s="198">
        <f t="shared" si="13"/>
        <v>0</v>
      </c>
    </row>
    <row r="64" spans="16:39">
      <c r="S64" s="209"/>
      <c r="T64" s="214">
        <v>107</v>
      </c>
      <c r="U64" s="214">
        <f t="shared" si="11"/>
        <v>175.00000009999999</v>
      </c>
      <c r="V64" s="223" t="s">
        <v>337</v>
      </c>
      <c r="W64" s="223" t="s">
        <v>170</v>
      </c>
      <c r="X64" s="223" t="s">
        <v>166</v>
      </c>
      <c r="Y64" s="224">
        <f t="shared" si="10"/>
        <v>200</v>
      </c>
      <c r="Z64" s="214">
        <v>13</v>
      </c>
      <c r="AA64" s="214">
        <v>107</v>
      </c>
      <c r="AB64" s="214">
        <v>11409</v>
      </c>
      <c r="AC64" s="213">
        <v>0.1</v>
      </c>
      <c r="AD64" s="213"/>
      <c r="AF64" s="215" t="s">
        <v>170</v>
      </c>
      <c r="AG64" s="215">
        <f>IF($B$2="YES",AJ64,150)</f>
        <v>200</v>
      </c>
      <c r="AH64" s="215">
        <f>IF($B$2="YES",AJ64,180)</f>
        <v>200</v>
      </c>
      <c r="AI64" s="215">
        <v>205</v>
      </c>
      <c r="AJ64" s="214">
        <v>200</v>
      </c>
      <c r="AL64" s="198">
        <f t="shared" si="12"/>
        <v>0</v>
      </c>
      <c r="AM64" s="198">
        <f t="shared" si="13"/>
        <v>0</v>
      </c>
    </row>
    <row r="65" spans="19:43">
      <c r="S65" s="209"/>
      <c r="T65" s="214">
        <v>108</v>
      </c>
      <c r="U65" s="214">
        <f t="shared" si="11"/>
        <v>200.00000009999999</v>
      </c>
      <c r="V65" s="223" t="s">
        <v>338</v>
      </c>
      <c r="W65" s="223" t="s">
        <v>172</v>
      </c>
      <c r="X65" s="223" t="s">
        <v>169</v>
      </c>
      <c r="Y65" s="224">
        <f t="shared" si="10"/>
        <v>225</v>
      </c>
      <c r="Z65" s="214">
        <v>14</v>
      </c>
      <c r="AA65" s="214">
        <v>108</v>
      </c>
      <c r="AB65" s="214">
        <v>13236</v>
      </c>
      <c r="AC65" s="213">
        <v>8.4699999999999998E-2</v>
      </c>
      <c r="AD65" s="213"/>
      <c r="AF65" s="215" t="s">
        <v>172</v>
      </c>
      <c r="AG65" s="215">
        <f>IF($B$2="YES",AJ65,170)</f>
        <v>225</v>
      </c>
      <c r="AH65" s="215">
        <f>IF($B$2="YES",AJ65,205)</f>
        <v>225</v>
      </c>
      <c r="AI65" s="215">
        <v>230</v>
      </c>
      <c r="AJ65" s="214">
        <v>225</v>
      </c>
      <c r="AL65" s="198">
        <f t="shared" si="12"/>
        <v>0</v>
      </c>
      <c r="AM65" s="198">
        <f t="shared" si="13"/>
        <v>0</v>
      </c>
    </row>
    <row r="66" spans="19:43">
      <c r="S66" s="209"/>
      <c r="T66" s="214">
        <v>109</v>
      </c>
      <c r="U66" s="214">
        <f t="shared" si="11"/>
        <v>225.00000009999999</v>
      </c>
      <c r="V66" s="223" t="s">
        <v>339</v>
      </c>
      <c r="W66" s="223" t="s">
        <v>173</v>
      </c>
      <c r="X66" s="223" t="s">
        <v>170</v>
      </c>
      <c r="Y66" s="224">
        <f t="shared" si="10"/>
        <v>250</v>
      </c>
      <c r="Z66" s="214">
        <v>15</v>
      </c>
      <c r="AA66" s="214">
        <v>109</v>
      </c>
      <c r="AB66" s="214">
        <v>15495</v>
      </c>
      <c r="AC66" s="213">
        <v>7.0699999999999999E-2</v>
      </c>
      <c r="AD66" s="213"/>
      <c r="AF66" s="218" t="s">
        <v>173</v>
      </c>
      <c r="AG66" s="218">
        <f>IF($B$2="YES",AJ66,190)</f>
        <v>250</v>
      </c>
      <c r="AH66" s="218">
        <f>IF($B$2="YES",AJ66,230)</f>
        <v>250</v>
      </c>
      <c r="AI66" s="218">
        <v>255</v>
      </c>
      <c r="AJ66" s="217">
        <v>250</v>
      </c>
      <c r="AL66" s="198">
        <f t="shared" si="12"/>
        <v>0</v>
      </c>
      <c r="AM66" s="198">
        <f t="shared" si="13"/>
        <v>0</v>
      </c>
      <c r="AQ66" s="198">
        <f>SUM(AL59:AM66)</f>
        <v>1</v>
      </c>
    </row>
    <row r="67" spans="19:43">
      <c r="S67" s="209"/>
      <c r="T67" s="217">
        <v>110</v>
      </c>
      <c r="U67" s="217">
        <f t="shared" si="11"/>
        <v>250.00000009999999</v>
      </c>
      <c r="V67" s="225" t="s">
        <v>317</v>
      </c>
      <c r="W67" s="225" t="s">
        <v>317</v>
      </c>
      <c r="X67" s="225" t="s">
        <v>317</v>
      </c>
      <c r="Y67" s="226">
        <f>Y66</f>
        <v>250</v>
      </c>
      <c r="Z67" s="217" t="s">
        <v>317</v>
      </c>
      <c r="AA67" s="217">
        <v>110</v>
      </c>
      <c r="AB67" s="227" t="s">
        <v>317</v>
      </c>
      <c r="AC67" s="227" t="s">
        <v>317</v>
      </c>
      <c r="AD67" s="213"/>
    </row>
    <row r="68" spans="19:43">
      <c r="S68" s="209"/>
      <c r="T68" s="200"/>
      <c r="U68" s="200"/>
      <c r="V68" s="230"/>
      <c r="W68" s="230"/>
      <c r="X68" s="230"/>
      <c r="Y68" s="200"/>
      <c r="Z68" s="200"/>
      <c r="AA68" s="200"/>
      <c r="AB68" s="200"/>
      <c r="AC68" s="200"/>
      <c r="AD68" s="213"/>
    </row>
    <row r="69" spans="19:43">
      <c r="S69" s="209"/>
      <c r="T69" s="200">
        <f>VLOOKUP(AA69,T57:AA67,1)</f>
        <v>104</v>
      </c>
      <c r="U69" s="200"/>
      <c r="V69" s="200" t="str">
        <f>VLOOKUP(Q54,U57:AB67,2)</f>
        <v>1/0-1/0-1/0-1/0-2</v>
      </c>
      <c r="W69" s="200" t="str">
        <f>VLOOKUP(Q54,U57:AB67,3)</f>
        <v>#1/0</v>
      </c>
      <c r="X69" s="200" t="str">
        <f>VLOOKUP(Q54,U57:AB67,4)</f>
        <v>#2</v>
      </c>
      <c r="Y69" s="200">
        <f>VLOOKUP(Q54,U57:AB67,5)</f>
        <v>125</v>
      </c>
      <c r="Z69" s="200">
        <f>VLOOKUP(Q54,U57:AB67,6)</f>
        <v>10</v>
      </c>
      <c r="AA69" s="200">
        <f>VLOOKUP(Q54,U57:AB67,7)</f>
        <v>104</v>
      </c>
      <c r="AB69" s="200">
        <f>VLOOKUP(Q54,U57:AB67,8)</f>
        <v>5876</v>
      </c>
      <c r="AC69" s="200">
        <f>VLOOKUP(Q54,U57:AC67,9)</f>
        <v>0.20100000000000001</v>
      </c>
      <c r="AD69" s="213"/>
    </row>
    <row r="70" spans="19:43">
      <c r="S70" s="209"/>
      <c r="T70" s="200"/>
      <c r="U70" s="200"/>
      <c r="V70" s="200"/>
      <c r="W70" s="200"/>
      <c r="X70" s="200"/>
      <c r="Y70" s="200"/>
      <c r="Z70" s="200"/>
      <c r="AA70" s="200"/>
      <c r="AB70" s="200"/>
      <c r="AC70" s="200"/>
      <c r="AD70" s="213"/>
    </row>
    <row r="71" spans="19:43">
      <c r="S71" s="209"/>
      <c r="T71" s="200"/>
      <c r="U71" s="200"/>
      <c r="V71" s="200" t="s">
        <v>318</v>
      </c>
      <c r="W71" s="200"/>
      <c r="X71" s="200"/>
      <c r="Y71" s="200"/>
      <c r="Z71" s="200"/>
      <c r="AA71" s="200" t="str">
        <f>CONCATENATE(V71,W71,X71,Y71)</f>
        <v xml:space="preserve"> SER CABLE</v>
      </c>
      <c r="AB71" s="200"/>
      <c r="AC71" s="200"/>
      <c r="AD71" s="213"/>
    </row>
    <row r="72" spans="19:43">
      <c r="S72" s="209"/>
      <c r="T72" s="200"/>
      <c r="U72" s="200"/>
      <c r="V72" s="200" t="s">
        <v>340</v>
      </c>
      <c r="W72" s="200" t="str">
        <f>W69</f>
        <v>#1/0</v>
      </c>
      <c r="X72" s="200" t="s">
        <v>320</v>
      </c>
      <c r="Y72" s="200" t="s">
        <v>66</v>
      </c>
      <c r="Z72" s="200" t="s">
        <v>66</v>
      </c>
      <c r="AA72" s="200" t="str">
        <f>CONCATENATE(V72,W72,X72,Y72,Z72)</f>
        <v xml:space="preserve"> 4-#1/0 AL  </v>
      </c>
      <c r="AB72" s="200"/>
      <c r="AC72" s="200"/>
      <c r="AD72" s="213"/>
    </row>
    <row r="73" spans="19:43">
      <c r="S73" s="209"/>
      <c r="T73" s="200"/>
      <c r="U73" s="200"/>
      <c r="V73" s="200" t="s">
        <v>322</v>
      </c>
      <c r="W73" s="200" t="str">
        <f>X69</f>
        <v>#2</v>
      </c>
      <c r="X73" s="200" t="s">
        <v>247</v>
      </c>
      <c r="Y73" s="200"/>
      <c r="Z73" s="200"/>
      <c r="AA73" s="200" t="str">
        <f>CONCATENATE(V73,W73,X73,Y73,Z73)</f>
        <v xml:space="preserve"> 1-#2 GND</v>
      </c>
      <c r="AB73" s="200"/>
      <c r="AC73" s="200"/>
      <c r="AD73" s="213"/>
    </row>
    <row r="74" spans="19:43">
      <c r="S74" s="233"/>
      <c r="T74" s="234"/>
      <c r="U74" s="234"/>
      <c r="V74" s="234"/>
      <c r="W74" s="234"/>
      <c r="X74" s="234"/>
      <c r="Y74" s="234"/>
      <c r="Z74" s="234"/>
      <c r="AA74" s="234"/>
      <c r="AB74" s="234"/>
      <c r="AC74" s="234"/>
      <c r="AD74" s="235"/>
    </row>
    <row r="79" spans="19:43">
      <c r="AJ79" s="207"/>
    </row>
    <row r="80" spans="19:43">
      <c r="S80" s="200" t="s">
        <v>341</v>
      </c>
      <c r="T80" s="200"/>
      <c r="U80" s="200"/>
      <c r="V80" s="200"/>
      <c r="W80" s="200"/>
      <c r="X80" s="200"/>
      <c r="Y80" s="200"/>
      <c r="Z80" s="200"/>
      <c r="AA80" s="200"/>
      <c r="AB80" s="200"/>
      <c r="AC80" s="200"/>
    </row>
    <row r="81" spans="16:35">
      <c r="S81" s="203"/>
      <c r="T81" s="204"/>
      <c r="U81" s="204"/>
      <c r="V81" s="204"/>
      <c r="W81" s="204"/>
      <c r="X81" s="204"/>
      <c r="Y81" s="204"/>
      <c r="Z81" s="204"/>
      <c r="AA81" s="204"/>
      <c r="AB81" s="204"/>
      <c r="AC81" s="204"/>
      <c r="AD81" s="205"/>
      <c r="AF81" s="206" t="s">
        <v>154</v>
      </c>
      <c r="AG81" s="207"/>
      <c r="AH81" s="207"/>
      <c r="AI81" s="207"/>
    </row>
    <row r="82" spans="16:35">
      <c r="P82" s="198" t="s">
        <v>4</v>
      </c>
      <c r="Q82" s="198">
        <f>B6</f>
        <v>114</v>
      </c>
      <c r="S82" s="209"/>
      <c r="T82" s="210" t="s">
        <v>298</v>
      </c>
      <c r="U82" s="210" t="s">
        <v>122</v>
      </c>
      <c r="V82" s="211" t="s">
        <v>150</v>
      </c>
      <c r="W82" s="211" t="s">
        <v>150</v>
      </c>
      <c r="X82" s="211" t="s">
        <v>128</v>
      </c>
      <c r="Y82" s="212" t="str">
        <f>IF($Q$83=60,AG82,IF($Q$83=75,AH82,IF($Q$83=90,AI82)))</f>
        <v>75 C</v>
      </c>
      <c r="Z82" s="211" t="s">
        <v>150</v>
      </c>
      <c r="AA82" s="210" t="s">
        <v>298</v>
      </c>
      <c r="AB82" s="211" t="s">
        <v>294</v>
      </c>
      <c r="AC82" s="211" t="s">
        <v>221</v>
      </c>
      <c r="AD82" s="213"/>
      <c r="AF82" s="211" t="s">
        <v>150</v>
      </c>
      <c r="AG82" s="211" t="s">
        <v>151</v>
      </c>
      <c r="AH82" s="211" t="s">
        <v>152</v>
      </c>
      <c r="AI82" s="211" t="s">
        <v>153</v>
      </c>
    </row>
    <row r="83" spans="16:35">
      <c r="P83" s="198" t="s">
        <v>329</v>
      </c>
      <c r="Q83" s="198">
        <f>B7</f>
        <v>75</v>
      </c>
      <c r="S83" s="209"/>
      <c r="T83" s="214" t="s">
        <v>300</v>
      </c>
      <c r="U83" s="214"/>
      <c r="V83" s="215" t="s">
        <v>133</v>
      </c>
      <c r="W83" s="215" t="s">
        <v>133</v>
      </c>
      <c r="X83" s="215" t="s">
        <v>133</v>
      </c>
      <c r="Y83" s="215" t="s">
        <v>4</v>
      </c>
      <c r="Z83" s="215" t="s">
        <v>133</v>
      </c>
      <c r="AA83" s="214" t="s">
        <v>300</v>
      </c>
      <c r="AB83" s="215" t="s">
        <v>296</v>
      </c>
      <c r="AC83" s="215" t="s">
        <v>224</v>
      </c>
      <c r="AD83" s="213"/>
      <c r="AF83" s="215" t="s">
        <v>133</v>
      </c>
      <c r="AG83" s="215" t="s">
        <v>4</v>
      </c>
      <c r="AH83" s="215" t="s">
        <v>4</v>
      </c>
      <c r="AI83" s="215" t="s">
        <v>4</v>
      </c>
    </row>
    <row r="84" spans="16:35">
      <c r="S84" s="209"/>
      <c r="T84" s="217"/>
      <c r="U84" s="217"/>
      <c r="V84" s="215" t="s">
        <v>156</v>
      </c>
      <c r="W84" s="215"/>
      <c r="X84" s="215"/>
      <c r="Y84" s="215" t="s">
        <v>160</v>
      </c>
      <c r="Z84" s="215" t="s">
        <v>30</v>
      </c>
      <c r="AA84" s="217"/>
      <c r="AB84" s="218"/>
      <c r="AC84" s="218" t="s">
        <v>159</v>
      </c>
      <c r="AD84" s="213"/>
      <c r="AF84" s="215" t="s">
        <v>156</v>
      </c>
      <c r="AG84" s="215" t="s">
        <v>159</v>
      </c>
      <c r="AH84" s="215" t="s">
        <v>159</v>
      </c>
      <c r="AI84" s="215" t="s">
        <v>159</v>
      </c>
    </row>
    <row r="85" spans="16:35">
      <c r="S85" s="209"/>
      <c r="T85" s="210">
        <v>100</v>
      </c>
      <c r="U85" s="210">
        <v>0</v>
      </c>
      <c r="V85" s="220" t="s">
        <v>305</v>
      </c>
      <c r="W85" s="220" t="s">
        <v>158</v>
      </c>
      <c r="X85" s="220" t="s">
        <v>214</v>
      </c>
      <c r="Y85" s="212">
        <f>IF($Q$83=60,AG85,IF($Q$83=75,AH85,IF($Q$83=90,AI85)))</f>
        <v>65</v>
      </c>
      <c r="Z85" s="210">
        <v>5</v>
      </c>
      <c r="AA85" s="210">
        <v>100</v>
      </c>
      <c r="AB85" s="210">
        <v>2433</v>
      </c>
      <c r="AC85" s="213">
        <v>0.49099999999999999</v>
      </c>
      <c r="AD85" s="213"/>
      <c r="AF85" s="211" t="s">
        <v>158</v>
      </c>
      <c r="AG85" s="211">
        <v>55</v>
      </c>
      <c r="AH85" s="211">
        <v>65</v>
      </c>
      <c r="AI85" s="211">
        <v>75</v>
      </c>
    </row>
    <row r="86" spans="16:35">
      <c r="S86" s="209"/>
      <c r="T86" s="214">
        <v>101</v>
      </c>
      <c r="U86" s="214">
        <f>Y85+0.0000001</f>
        <v>65.000000099999994</v>
      </c>
      <c r="V86" s="223" t="s">
        <v>342</v>
      </c>
      <c r="W86" s="223" t="s">
        <v>161</v>
      </c>
      <c r="X86" s="223" t="s">
        <v>217</v>
      </c>
      <c r="Y86" s="224">
        <f>IF($Q$83=60,AG86,IF($Q$83=75,AH86,IF($Q$83=90,AI86)))</f>
        <v>85</v>
      </c>
      <c r="Z86" s="214">
        <v>6</v>
      </c>
      <c r="AA86" s="214">
        <v>101</v>
      </c>
      <c r="AB86" s="214">
        <v>3838</v>
      </c>
      <c r="AC86" s="213">
        <v>0.308</v>
      </c>
      <c r="AD86" s="213"/>
      <c r="AF86" s="215" t="s">
        <v>161</v>
      </c>
      <c r="AG86" s="215">
        <v>70</v>
      </c>
      <c r="AH86" s="215">
        <v>85</v>
      </c>
      <c r="AI86" s="215">
        <v>95</v>
      </c>
    </row>
    <row r="87" spans="16:35">
      <c r="S87" s="209"/>
      <c r="T87" s="214">
        <v>102</v>
      </c>
      <c r="U87" s="214">
        <f>Y86+0.0000001</f>
        <v>85.000000099999994</v>
      </c>
      <c r="V87" s="223" t="s">
        <v>343</v>
      </c>
      <c r="W87" s="223" t="s">
        <v>162</v>
      </c>
      <c r="X87" s="223" t="s">
        <v>217</v>
      </c>
      <c r="Y87" s="224">
        <f>IF($Q$83=60,AG87,IF($Q$83=75,AH87,IF($Q$83=90,AI87)))</f>
        <v>115</v>
      </c>
      <c r="Z87" s="214">
        <v>7</v>
      </c>
      <c r="AA87" s="214">
        <v>102</v>
      </c>
      <c r="AB87" s="214">
        <v>4833</v>
      </c>
      <c r="AC87" s="213">
        <v>0.19400000000000001</v>
      </c>
      <c r="AD87" s="213"/>
      <c r="AF87" s="218" t="s">
        <v>162</v>
      </c>
      <c r="AG87" s="218">
        <v>95</v>
      </c>
      <c r="AH87" s="218">
        <v>115</v>
      </c>
      <c r="AI87" s="218">
        <v>130</v>
      </c>
    </row>
    <row r="88" spans="16:35">
      <c r="S88" s="209"/>
      <c r="T88" s="217">
        <v>103</v>
      </c>
      <c r="U88" s="217">
        <f>Y87+0.0000001</f>
        <v>115.00000009999999</v>
      </c>
      <c r="V88" s="225" t="s">
        <v>317</v>
      </c>
      <c r="W88" s="225" t="s">
        <v>317</v>
      </c>
      <c r="X88" s="225" t="s">
        <v>317</v>
      </c>
      <c r="Y88" s="226">
        <f>Y87</f>
        <v>115</v>
      </c>
      <c r="Z88" s="217" t="s">
        <v>317</v>
      </c>
      <c r="AA88" s="217">
        <v>103</v>
      </c>
      <c r="AB88" s="227" t="s">
        <v>317</v>
      </c>
      <c r="AC88" s="227" t="s">
        <v>317</v>
      </c>
      <c r="AD88" s="213"/>
    </row>
    <row r="89" spans="16:35">
      <c r="S89" s="209"/>
      <c r="T89" s="200"/>
      <c r="U89" s="200"/>
      <c r="V89" s="230"/>
      <c r="W89" s="230"/>
      <c r="X89" s="230"/>
      <c r="Y89" s="200"/>
      <c r="Z89" s="200"/>
      <c r="AA89" s="200"/>
      <c r="AB89" s="200"/>
      <c r="AC89" s="200"/>
      <c r="AD89" s="213"/>
      <c r="AF89" s="198" t="s">
        <v>162</v>
      </c>
      <c r="AG89" s="198">
        <v>95</v>
      </c>
      <c r="AH89" s="198">
        <v>115</v>
      </c>
      <c r="AI89" s="198">
        <v>130</v>
      </c>
    </row>
    <row r="90" spans="16:35">
      <c r="S90" s="209"/>
      <c r="T90" s="200">
        <f>VLOOKUP(AA90,T85:AA88,1)</f>
        <v>102</v>
      </c>
      <c r="U90" s="200"/>
      <c r="V90" s="200" t="str">
        <f>VLOOKUP(Q82,U85:AB88,2)</f>
        <v>2-2-2-2</v>
      </c>
      <c r="W90" s="200" t="str">
        <f>VLOOKUP(Q82,U85:AB88,3)</f>
        <v>#2</v>
      </c>
      <c r="X90" s="200" t="str">
        <f>VLOOKUP(Q82,U85:AB88,4)</f>
        <v>#8</v>
      </c>
      <c r="Y90" s="200">
        <f>VLOOKUP(Q82,U85:AB88,5)</f>
        <v>115</v>
      </c>
      <c r="Z90" s="200">
        <f>VLOOKUP(Q82,U85:AB88,6)</f>
        <v>7</v>
      </c>
      <c r="AA90" s="200">
        <f>VLOOKUP(Q82,U85:AB88,7)</f>
        <v>102</v>
      </c>
      <c r="AB90" s="200">
        <f>VLOOKUP(Q82,U85:AB88,8)</f>
        <v>4833</v>
      </c>
      <c r="AC90" s="200">
        <f>VLOOKUP(Q82,U85:AC88,9)</f>
        <v>0.19400000000000001</v>
      </c>
      <c r="AD90" s="213"/>
    </row>
    <row r="91" spans="16:35">
      <c r="S91" s="209"/>
      <c r="T91" s="200"/>
      <c r="U91" s="200"/>
      <c r="V91" s="200"/>
      <c r="W91" s="200"/>
      <c r="X91" s="200"/>
      <c r="Y91" s="200"/>
      <c r="Z91" s="200"/>
      <c r="AA91" s="200"/>
      <c r="AB91" s="200"/>
      <c r="AC91" s="200"/>
      <c r="AD91" s="213"/>
    </row>
    <row r="92" spans="16:35">
      <c r="S92" s="209"/>
      <c r="T92" s="200"/>
      <c r="U92" s="200"/>
      <c r="V92" s="200" t="s">
        <v>344</v>
      </c>
      <c r="W92" s="200"/>
      <c r="X92" s="200"/>
      <c r="Y92" s="200"/>
      <c r="Z92" s="200"/>
      <c r="AA92" s="200" t="str">
        <f>CONCATENATE(V92,W92,X92,Y92)</f>
        <v xml:space="preserve"> ROMEX</v>
      </c>
      <c r="AB92" s="200"/>
      <c r="AC92" s="200"/>
      <c r="AD92" s="213"/>
    </row>
    <row r="93" spans="16:35">
      <c r="S93" s="209"/>
      <c r="T93" s="200"/>
      <c r="U93" s="200"/>
      <c r="V93" s="200" t="s">
        <v>319</v>
      </c>
      <c r="W93" s="200" t="str">
        <f>W90</f>
        <v>#2</v>
      </c>
      <c r="X93" s="200" t="s">
        <v>327</v>
      </c>
      <c r="Y93" s="200" t="s">
        <v>66</v>
      </c>
      <c r="Z93" s="200" t="s">
        <v>66</v>
      </c>
      <c r="AA93" s="200" t="str">
        <f>CONCATENATE(V93,W93,X93,Y93,Z93)</f>
        <v xml:space="preserve"> 3-#2 CU  </v>
      </c>
      <c r="AB93" s="200"/>
      <c r="AC93" s="200"/>
      <c r="AD93" s="213"/>
    </row>
    <row r="94" spans="16:35">
      <c r="S94" s="209"/>
      <c r="T94" s="200"/>
      <c r="U94" s="200"/>
      <c r="V94" s="200" t="s">
        <v>322</v>
      </c>
      <c r="W94" s="200" t="str">
        <f>X90</f>
        <v>#8</v>
      </c>
      <c r="X94" s="200" t="s">
        <v>247</v>
      </c>
      <c r="Y94" s="200"/>
      <c r="Z94" s="200"/>
      <c r="AA94" s="200" t="str">
        <f>CONCATENATE(V94,W94,X94,Y94,Z94)</f>
        <v xml:space="preserve"> 1-#8 GND</v>
      </c>
      <c r="AB94" s="200"/>
      <c r="AC94" s="200"/>
      <c r="AD94" s="213"/>
    </row>
    <row r="95" spans="16:35">
      <c r="S95" s="233"/>
      <c r="T95" s="234"/>
      <c r="U95" s="234"/>
      <c r="V95" s="234"/>
      <c r="W95" s="234"/>
      <c r="X95" s="234"/>
      <c r="Y95" s="234"/>
      <c r="Z95" s="234"/>
      <c r="AA95" s="234"/>
      <c r="AB95" s="234"/>
      <c r="AC95" s="234"/>
      <c r="AD95" s="235"/>
    </row>
    <row r="97" spans="16:39">
      <c r="X97" s="200"/>
    </row>
    <row r="98" spans="16:39">
      <c r="X98" s="200"/>
    </row>
    <row r="99" spans="16:39">
      <c r="X99" s="201"/>
      <c r="AJ99" s="207"/>
    </row>
    <row r="100" spans="16:39">
      <c r="S100" s="200" t="s">
        <v>345</v>
      </c>
      <c r="T100" s="200"/>
      <c r="U100" s="200"/>
      <c r="V100" s="200"/>
      <c r="W100" s="200"/>
      <c r="X100" s="200"/>
      <c r="Y100" s="200"/>
      <c r="Z100" s="200"/>
      <c r="AA100" s="200"/>
      <c r="AB100" s="200"/>
      <c r="AC100" s="200"/>
    </row>
    <row r="101" spans="16:39">
      <c r="S101" s="203"/>
      <c r="T101" s="204"/>
      <c r="U101" s="204"/>
      <c r="V101" s="204"/>
      <c r="W101" s="204"/>
      <c r="X101" s="204"/>
      <c r="Y101" s="204"/>
      <c r="Z101" s="204"/>
      <c r="AA101" s="204"/>
      <c r="AB101" s="204"/>
      <c r="AC101" s="204"/>
      <c r="AD101" s="205"/>
      <c r="AF101" s="206" t="s">
        <v>154</v>
      </c>
      <c r="AG101" s="207"/>
      <c r="AH101" s="207"/>
      <c r="AI101" s="207"/>
      <c r="AJ101" s="207"/>
    </row>
    <row r="102" spans="16:39">
      <c r="P102" s="198" t="s">
        <v>4</v>
      </c>
      <c r="Q102" s="198">
        <f>B6</f>
        <v>114</v>
      </c>
      <c r="S102" s="209"/>
      <c r="T102" s="210" t="s">
        <v>298</v>
      </c>
      <c r="U102" s="210" t="s">
        <v>122</v>
      </c>
      <c r="V102" s="211" t="s">
        <v>150</v>
      </c>
      <c r="W102" s="211" t="s">
        <v>150</v>
      </c>
      <c r="X102" s="211" t="s">
        <v>128</v>
      </c>
      <c r="Y102" s="212" t="str">
        <f>IF($Q$103=60,AG102,IF($Q$103=75,AH102,IF($Q$103=90,AI102)))</f>
        <v>75 C</v>
      </c>
      <c r="Z102" s="211" t="s">
        <v>150</v>
      </c>
      <c r="AA102" s="210" t="s">
        <v>298</v>
      </c>
      <c r="AB102" s="211" t="s">
        <v>294</v>
      </c>
      <c r="AC102" s="211" t="s">
        <v>221</v>
      </c>
      <c r="AD102" s="213"/>
      <c r="AF102" s="211" t="s">
        <v>150</v>
      </c>
      <c r="AG102" s="211" t="s">
        <v>151</v>
      </c>
      <c r="AH102" s="211" t="s">
        <v>152</v>
      </c>
      <c r="AI102" s="211" t="s">
        <v>153</v>
      </c>
      <c r="AJ102" s="212" t="s">
        <v>538</v>
      </c>
    </row>
    <row r="103" spans="16:39">
      <c r="P103" s="198" t="s">
        <v>329</v>
      </c>
      <c r="Q103" s="198">
        <f>B7</f>
        <v>75</v>
      </c>
      <c r="S103" s="209"/>
      <c r="T103" s="214" t="s">
        <v>300</v>
      </c>
      <c r="U103" s="214"/>
      <c r="V103" s="215" t="s">
        <v>133</v>
      </c>
      <c r="W103" s="215" t="s">
        <v>133</v>
      </c>
      <c r="X103" s="215" t="s">
        <v>133</v>
      </c>
      <c r="Y103" s="215" t="s">
        <v>4</v>
      </c>
      <c r="Z103" s="215" t="s">
        <v>133</v>
      </c>
      <c r="AA103" s="214" t="s">
        <v>300</v>
      </c>
      <c r="AB103" s="215" t="s">
        <v>296</v>
      </c>
      <c r="AC103" s="215" t="s">
        <v>224</v>
      </c>
      <c r="AD103" s="213"/>
      <c r="AF103" s="215" t="s">
        <v>133</v>
      </c>
      <c r="AG103" s="215" t="s">
        <v>4</v>
      </c>
      <c r="AH103" s="215" t="s">
        <v>4</v>
      </c>
      <c r="AI103" s="215" t="s">
        <v>4</v>
      </c>
      <c r="AJ103" s="224" t="s">
        <v>537</v>
      </c>
    </row>
    <row r="104" spans="16:39">
      <c r="S104" s="209"/>
      <c r="T104" s="217"/>
      <c r="U104" s="217"/>
      <c r="V104" s="215" t="s">
        <v>156</v>
      </c>
      <c r="W104" s="215"/>
      <c r="X104" s="215"/>
      <c r="Y104" s="215" t="s">
        <v>160</v>
      </c>
      <c r="Z104" s="215" t="s">
        <v>30</v>
      </c>
      <c r="AA104" s="217"/>
      <c r="AB104" s="218"/>
      <c r="AC104" s="218" t="s">
        <v>160</v>
      </c>
      <c r="AD104" s="213"/>
      <c r="AF104" s="215" t="s">
        <v>156</v>
      </c>
      <c r="AG104" s="215" t="s">
        <v>160</v>
      </c>
      <c r="AH104" s="215" t="s">
        <v>160</v>
      </c>
      <c r="AI104" s="215" t="s">
        <v>160</v>
      </c>
      <c r="AJ104" s="217"/>
    </row>
    <row r="105" spans="16:39">
      <c r="S105" s="209"/>
      <c r="T105" s="210">
        <v>100</v>
      </c>
      <c r="U105" s="210">
        <v>0</v>
      </c>
      <c r="V105" s="220" t="s">
        <v>305</v>
      </c>
      <c r="W105" s="220" t="s">
        <v>158</v>
      </c>
      <c r="X105" s="220" t="s">
        <v>158</v>
      </c>
      <c r="Y105" s="212">
        <f t="shared" ref="Y105:Y114" si="14">IF($Q$103=60,AG105,IF($Q$103=75,AH105,IF($Q$103=90,AI105)))</f>
        <v>50</v>
      </c>
      <c r="Z105" s="210">
        <v>5</v>
      </c>
      <c r="AA105" s="210">
        <v>100</v>
      </c>
      <c r="AB105" s="210">
        <v>1482</v>
      </c>
      <c r="AC105" s="213">
        <v>0.80800000000000005</v>
      </c>
      <c r="AD105" s="213"/>
      <c r="AF105" s="211" t="s">
        <v>158</v>
      </c>
      <c r="AG105" s="211">
        <v>40</v>
      </c>
      <c r="AH105" s="211">
        <v>50</v>
      </c>
      <c r="AI105" s="211">
        <v>60</v>
      </c>
      <c r="AJ105" s="210"/>
    </row>
    <row r="106" spans="16:39">
      <c r="S106" s="209"/>
      <c r="T106" s="214">
        <v>101</v>
      </c>
      <c r="U106" s="214">
        <f t="shared" ref="U106:U115" si="15">Y105+0.0000001</f>
        <v>50.000000100000001</v>
      </c>
      <c r="V106" s="223" t="s">
        <v>307</v>
      </c>
      <c r="W106" s="223" t="s">
        <v>161</v>
      </c>
      <c r="X106" s="223" t="s">
        <v>158</v>
      </c>
      <c r="Y106" s="224">
        <f t="shared" si="14"/>
        <v>65</v>
      </c>
      <c r="Z106" s="214">
        <v>6</v>
      </c>
      <c r="AA106" s="214">
        <v>101</v>
      </c>
      <c r="AB106" s="214">
        <v>2353</v>
      </c>
      <c r="AC106" s="213">
        <v>0.50800000000000001</v>
      </c>
      <c r="AD106" s="213"/>
      <c r="AF106" s="215" t="s">
        <v>161</v>
      </c>
      <c r="AG106" s="215">
        <v>55</v>
      </c>
      <c r="AH106" s="215">
        <v>65</v>
      </c>
      <c r="AI106" s="215">
        <v>75</v>
      </c>
      <c r="AJ106" s="214"/>
    </row>
    <row r="107" spans="16:39">
      <c r="S107" s="209"/>
      <c r="T107" s="214">
        <v>102</v>
      </c>
      <c r="U107" s="214">
        <f t="shared" si="15"/>
        <v>65.000000099999994</v>
      </c>
      <c r="V107" s="223" t="s">
        <v>309</v>
      </c>
      <c r="W107" s="223" t="s">
        <v>162</v>
      </c>
      <c r="X107" s="223" t="s">
        <v>161</v>
      </c>
      <c r="Y107" s="224">
        <f t="shared" si="14"/>
        <v>100</v>
      </c>
      <c r="Z107" s="214">
        <v>8</v>
      </c>
      <c r="AA107" s="214">
        <v>102</v>
      </c>
      <c r="AB107" s="214">
        <v>3734</v>
      </c>
      <c r="AC107" s="213">
        <v>0.31900000000000001</v>
      </c>
      <c r="AD107" s="213"/>
      <c r="AF107" s="215" t="s">
        <v>162</v>
      </c>
      <c r="AG107" s="215">
        <f>IF($B$2="YES",AJ107,75)</f>
        <v>100</v>
      </c>
      <c r="AH107" s="215">
        <f>IF($B$2="YES",AJ107,90)</f>
        <v>100</v>
      </c>
      <c r="AI107" s="215">
        <v>100</v>
      </c>
      <c r="AJ107" s="214">
        <v>100</v>
      </c>
      <c r="AL107" s="198">
        <f>IF(Q$103=60,IF(AND($B$2="YES",$T$117=$T107),1,0),0)</f>
        <v>0</v>
      </c>
      <c r="AM107" s="198">
        <f>IF(Q$103=75,IF(AND($B$2="YES",$T$117=$T107),1,0),0)</f>
        <v>0</v>
      </c>
    </row>
    <row r="108" spans="16:39">
      <c r="S108" s="209"/>
      <c r="T108" s="214">
        <v>103</v>
      </c>
      <c r="U108" s="214">
        <f t="shared" si="15"/>
        <v>100.00000009999999</v>
      </c>
      <c r="V108" s="223" t="s">
        <v>346</v>
      </c>
      <c r="W108" s="223" t="s">
        <v>164</v>
      </c>
      <c r="X108" s="223" t="s">
        <v>161</v>
      </c>
      <c r="Y108" s="224">
        <f t="shared" si="14"/>
        <v>110</v>
      </c>
      <c r="Z108" s="214">
        <v>9</v>
      </c>
      <c r="AA108" s="214">
        <v>103</v>
      </c>
      <c r="AB108" s="214">
        <v>4686</v>
      </c>
      <c r="AC108" s="213">
        <v>0.253</v>
      </c>
      <c r="AD108" s="213"/>
      <c r="AF108" s="215" t="s">
        <v>164</v>
      </c>
      <c r="AG108" s="215">
        <f>IF($B$2="YES",AJ108,85)</f>
        <v>110</v>
      </c>
      <c r="AH108" s="215">
        <f>IF($B$2="YES",AJ108,100)</f>
        <v>110</v>
      </c>
      <c r="AI108" s="215">
        <v>115</v>
      </c>
      <c r="AJ108" s="214">
        <v>110</v>
      </c>
      <c r="AL108" s="198">
        <f t="shared" ref="AL108:AL114" si="16">IF(Q$103=60,IF(AND($B$2="YES",$T$117=$T108),1,0),0)</f>
        <v>0</v>
      </c>
      <c r="AM108" s="198">
        <f t="shared" ref="AM108:AM114" si="17">IF(Q$103=75,IF(AND($B$2="YES",$T$117=$T108),1,0),0)</f>
        <v>0</v>
      </c>
    </row>
    <row r="109" spans="16:39">
      <c r="S109" s="209"/>
      <c r="T109" s="214">
        <v>104</v>
      </c>
      <c r="U109" s="214">
        <f t="shared" si="15"/>
        <v>110.00000009999999</v>
      </c>
      <c r="V109" s="223" t="s">
        <v>347</v>
      </c>
      <c r="W109" s="223" t="s">
        <v>165</v>
      </c>
      <c r="X109" s="223" t="s">
        <v>161</v>
      </c>
      <c r="Y109" s="224">
        <f t="shared" si="14"/>
        <v>125</v>
      </c>
      <c r="Z109" s="214">
        <v>10</v>
      </c>
      <c r="AA109" s="214">
        <v>104</v>
      </c>
      <c r="AB109" s="214">
        <v>5852</v>
      </c>
      <c r="AC109" s="213">
        <v>0.20100000000000001</v>
      </c>
      <c r="AD109" s="213"/>
      <c r="AF109" s="215" t="s">
        <v>165</v>
      </c>
      <c r="AG109" s="215">
        <f>IF($B$2="YES",AJ109,100)</f>
        <v>125</v>
      </c>
      <c r="AH109" s="215">
        <f>IF($B$2="YES",AJ109,120)</f>
        <v>125</v>
      </c>
      <c r="AI109" s="215">
        <v>135</v>
      </c>
      <c r="AJ109" s="214">
        <v>125</v>
      </c>
      <c r="AL109" s="198">
        <f t="shared" si="16"/>
        <v>0</v>
      </c>
      <c r="AM109" s="198">
        <f t="shared" si="17"/>
        <v>1</v>
      </c>
    </row>
    <row r="110" spans="16:39">
      <c r="S110" s="209"/>
      <c r="T110" s="214">
        <v>105</v>
      </c>
      <c r="U110" s="214">
        <f t="shared" si="15"/>
        <v>125.00000009999999</v>
      </c>
      <c r="V110" s="223" t="s">
        <v>348</v>
      </c>
      <c r="W110" s="223" t="s">
        <v>166</v>
      </c>
      <c r="X110" s="223" t="s">
        <v>161</v>
      </c>
      <c r="Y110" s="224">
        <f t="shared" si="14"/>
        <v>150</v>
      </c>
      <c r="Z110" s="214">
        <v>11</v>
      </c>
      <c r="AA110" s="214">
        <v>105</v>
      </c>
      <c r="AB110" s="214">
        <v>7327</v>
      </c>
      <c r="AC110" s="213">
        <v>0.159</v>
      </c>
      <c r="AD110" s="213"/>
      <c r="AF110" s="215" t="s">
        <v>166</v>
      </c>
      <c r="AG110" s="215">
        <f>IF($B$2="YES",AJ110,115)</f>
        <v>150</v>
      </c>
      <c r="AH110" s="215">
        <f>IF($B$2="YES",AJ110,135)</f>
        <v>150</v>
      </c>
      <c r="AI110" s="215">
        <v>150</v>
      </c>
      <c r="AJ110" s="214">
        <v>150</v>
      </c>
      <c r="AL110" s="198">
        <f t="shared" si="16"/>
        <v>0</v>
      </c>
      <c r="AM110" s="198">
        <f t="shared" si="17"/>
        <v>0</v>
      </c>
    </row>
    <row r="111" spans="16:39">
      <c r="S111" s="209"/>
      <c r="T111" s="214">
        <v>106</v>
      </c>
      <c r="U111" s="214">
        <f t="shared" si="15"/>
        <v>150.00000009999999</v>
      </c>
      <c r="V111" s="223" t="s">
        <v>349</v>
      </c>
      <c r="W111" s="223" t="s">
        <v>169</v>
      </c>
      <c r="X111" s="223" t="s">
        <v>161</v>
      </c>
      <c r="Y111" s="224">
        <f t="shared" si="14"/>
        <v>175</v>
      </c>
      <c r="Z111" s="214">
        <v>12</v>
      </c>
      <c r="AA111" s="214">
        <v>106</v>
      </c>
      <c r="AB111" s="214">
        <v>9077</v>
      </c>
      <c r="AC111" s="213">
        <v>0.126</v>
      </c>
      <c r="AD111" s="213"/>
      <c r="AF111" s="215" t="s">
        <v>169</v>
      </c>
      <c r="AG111" s="215">
        <f>IF($B$2="YES",AJ111,130)</f>
        <v>175</v>
      </c>
      <c r="AH111" s="215">
        <f>IF($B$2="YES",AJ111,155)</f>
        <v>175</v>
      </c>
      <c r="AI111" s="215">
        <v>175</v>
      </c>
      <c r="AJ111" s="214">
        <v>175</v>
      </c>
      <c r="AL111" s="198">
        <f t="shared" si="16"/>
        <v>0</v>
      </c>
      <c r="AM111" s="198">
        <f t="shared" si="17"/>
        <v>0</v>
      </c>
    </row>
    <row r="112" spans="16:39">
      <c r="S112" s="209"/>
      <c r="T112" s="214">
        <v>107</v>
      </c>
      <c r="U112" s="214">
        <f t="shared" si="15"/>
        <v>175.00000009999999</v>
      </c>
      <c r="V112" s="223" t="s">
        <v>350</v>
      </c>
      <c r="W112" s="223" t="s">
        <v>170</v>
      </c>
      <c r="X112" s="223" t="s">
        <v>162</v>
      </c>
      <c r="Y112" s="224">
        <f t="shared" si="14"/>
        <v>200</v>
      </c>
      <c r="Z112" s="214">
        <v>13</v>
      </c>
      <c r="AA112" s="214">
        <v>107</v>
      </c>
      <c r="AB112" s="214">
        <v>11185</v>
      </c>
      <c r="AC112" s="213">
        <v>0.1</v>
      </c>
      <c r="AD112" s="213"/>
      <c r="AF112" s="215" t="s">
        <v>170</v>
      </c>
      <c r="AG112" s="215">
        <f>IF($B$2="YES",AJ112,150)</f>
        <v>200</v>
      </c>
      <c r="AH112" s="215">
        <f>IF($B$2="YES",AJ112,180)</f>
        <v>200</v>
      </c>
      <c r="AI112" s="215">
        <v>205</v>
      </c>
      <c r="AJ112" s="214">
        <v>200</v>
      </c>
      <c r="AL112" s="198">
        <f t="shared" si="16"/>
        <v>0</v>
      </c>
      <c r="AM112" s="198">
        <f t="shared" si="17"/>
        <v>0</v>
      </c>
    </row>
    <row r="113" spans="19:43">
      <c r="S113" s="209"/>
      <c r="T113" s="214">
        <v>108</v>
      </c>
      <c r="U113" s="214">
        <f t="shared" si="15"/>
        <v>200.00000009999999</v>
      </c>
      <c r="V113" s="223" t="s">
        <v>351</v>
      </c>
      <c r="W113" s="223" t="s">
        <v>172</v>
      </c>
      <c r="X113" s="223" t="s">
        <v>162</v>
      </c>
      <c r="Y113" s="224">
        <f t="shared" si="14"/>
        <v>225</v>
      </c>
      <c r="Z113" s="214">
        <v>14</v>
      </c>
      <c r="AA113" s="214">
        <v>108</v>
      </c>
      <c r="AB113" s="214">
        <v>12797</v>
      </c>
      <c r="AC113" s="213">
        <v>8.4699999999999998E-2</v>
      </c>
      <c r="AD113" s="213"/>
      <c r="AF113" s="215" t="s">
        <v>172</v>
      </c>
      <c r="AG113" s="215">
        <f>IF($B$2="YES",AJ113,170)</f>
        <v>225</v>
      </c>
      <c r="AH113" s="215">
        <f>IF($B$2="YES",AJ113,205)</f>
        <v>225</v>
      </c>
      <c r="AI113" s="215">
        <v>230</v>
      </c>
      <c r="AJ113" s="214">
        <v>225</v>
      </c>
      <c r="AL113" s="198">
        <f t="shared" si="16"/>
        <v>0</v>
      </c>
      <c r="AM113" s="198">
        <f t="shared" si="17"/>
        <v>0</v>
      </c>
    </row>
    <row r="114" spans="19:43">
      <c r="S114" s="209"/>
      <c r="T114" s="214">
        <v>109</v>
      </c>
      <c r="U114" s="214">
        <f t="shared" si="15"/>
        <v>225.00000009999999</v>
      </c>
      <c r="V114" s="223" t="s">
        <v>352</v>
      </c>
      <c r="W114" s="223" t="s">
        <v>173</v>
      </c>
      <c r="X114" s="223" t="s">
        <v>164</v>
      </c>
      <c r="Y114" s="224">
        <f t="shared" si="14"/>
        <v>250</v>
      </c>
      <c r="Z114" s="214">
        <v>16</v>
      </c>
      <c r="AA114" s="214">
        <v>109</v>
      </c>
      <c r="AB114" s="214">
        <v>16795</v>
      </c>
      <c r="AC114" s="213">
        <v>6.0499999999999998E-2</v>
      </c>
      <c r="AD114" s="213"/>
      <c r="AF114" s="218" t="s">
        <v>175</v>
      </c>
      <c r="AG114" s="218">
        <f>IF($B$2="YES",AJ114,210)</f>
        <v>250</v>
      </c>
      <c r="AH114" s="218">
        <f>IF($B$2="YES",AJ114,250)</f>
        <v>250</v>
      </c>
      <c r="AI114" s="218">
        <v>280</v>
      </c>
      <c r="AJ114" s="217">
        <v>250</v>
      </c>
      <c r="AL114" s="198">
        <f t="shared" si="16"/>
        <v>0</v>
      </c>
      <c r="AM114" s="198">
        <f t="shared" si="17"/>
        <v>0</v>
      </c>
      <c r="AQ114" s="198">
        <f>SUM(AL107:AM114)</f>
        <v>1</v>
      </c>
    </row>
    <row r="115" spans="19:43">
      <c r="S115" s="209"/>
      <c r="T115" s="217">
        <v>110</v>
      </c>
      <c r="U115" s="217">
        <f t="shared" si="15"/>
        <v>250.00000009999999</v>
      </c>
      <c r="V115" s="225" t="s">
        <v>317</v>
      </c>
      <c r="W115" s="225" t="s">
        <v>317</v>
      </c>
      <c r="X115" s="225" t="s">
        <v>317</v>
      </c>
      <c r="Y115" s="226">
        <f>Y114</f>
        <v>250</v>
      </c>
      <c r="Z115" s="217" t="s">
        <v>317</v>
      </c>
      <c r="AA115" s="217">
        <v>110</v>
      </c>
      <c r="AB115" s="227" t="s">
        <v>317</v>
      </c>
      <c r="AC115" s="227" t="s">
        <v>317</v>
      </c>
      <c r="AD115" s="213"/>
    </row>
    <row r="116" spans="19:43">
      <c r="S116" s="209"/>
      <c r="T116" s="200"/>
      <c r="U116" s="200"/>
      <c r="V116" s="230"/>
      <c r="W116" s="230"/>
      <c r="X116" s="230"/>
      <c r="Y116" s="200"/>
      <c r="Z116" s="200"/>
      <c r="AA116" s="200"/>
      <c r="AB116" s="200"/>
      <c r="AC116" s="200"/>
      <c r="AD116" s="213"/>
    </row>
    <row r="117" spans="19:43">
      <c r="S117" s="209"/>
      <c r="T117" s="200">
        <f>VLOOKUP(AA117,T105:AA115,1)</f>
        <v>104</v>
      </c>
      <c r="U117" s="200"/>
      <c r="V117" s="200" t="str">
        <f>VLOOKUP(Q102,U105:AB115,2)</f>
        <v>1/0-1/0-1/0-4</v>
      </c>
      <c r="W117" s="200" t="str">
        <f>VLOOKUP(Q102,U105:AB115,3)</f>
        <v>#1/0</v>
      </c>
      <c r="X117" s="200" t="str">
        <f>VLOOKUP(Q102,U105:AB115,4)</f>
        <v>#4</v>
      </c>
      <c r="Y117" s="200">
        <f>VLOOKUP(Q102,U105:AB115,5)</f>
        <v>125</v>
      </c>
      <c r="Z117" s="200">
        <f>VLOOKUP(Q102,U105:AB115,6)</f>
        <v>10</v>
      </c>
      <c r="AA117" s="200">
        <f>VLOOKUP(Q102,U105:AB115,7)</f>
        <v>104</v>
      </c>
      <c r="AB117" s="200">
        <f>VLOOKUP(Q102,U105:AB115,8)</f>
        <v>5852</v>
      </c>
      <c r="AC117" s="200">
        <f>VLOOKUP(Q102,U105:AC115,9)</f>
        <v>0.20100000000000001</v>
      </c>
      <c r="AD117" s="213"/>
    </row>
    <row r="118" spans="19:43">
      <c r="S118" s="209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13"/>
    </row>
    <row r="119" spans="19:43">
      <c r="S119" s="209"/>
      <c r="T119" s="200"/>
      <c r="U119" s="200"/>
      <c r="V119" s="200" t="s">
        <v>353</v>
      </c>
      <c r="W119" s="200"/>
      <c r="X119" s="200"/>
      <c r="Y119" s="200"/>
      <c r="Z119" s="200"/>
      <c r="AA119" s="200" t="str">
        <f>CONCATENATE(V119,W119,X119,Y119)</f>
        <v xml:space="preserve"> MC CABLE</v>
      </c>
      <c r="AB119" s="200"/>
      <c r="AC119" s="200"/>
      <c r="AD119" s="213"/>
    </row>
    <row r="120" spans="19:43">
      <c r="S120" s="209"/>
      <c r="T120" s="200"/>
      <c r="U120" s="200"/>
      <c r="V120" s="200" t="s">
        <v>319</v>
      </c>
      <c r="W120" s="200" t="str">
        <f>W117</f>
        <v>#1/0</v>
      </c>
      <c r="X120" s="200" t="s">
        <v>320</v>
      </c>
      <c r="Y120" s="200" t="s">
        <v>66</v>
      </c>
      <c r="Z120" s="200" t="s">
        <v>66</v>
      </c>
      <c r="AA120" s="200" t="str">
        <f>CONCATENATE(V120,W120,X120,Y120,Z120)</f>
        <v xml:space="preserve"> 3-#1/0 AL  </v>
      </c>
      <c r="AB120" s="200"/>
      <c r="AC120" s="200"/>
      <c r="AD120" s="213"/>
    </row>
    <row r="121" spans="19:43">
      <c r="S121" s="209"/>
      <c r="T121" s="200"/>
      <c r="U121" s="200"/>
      <c r="V121" s="200" t="s">
        <v>322</v>
      </c>
      <c r="W121" s="200" t="str">
        <f>X117</f>
        <v>#4</v>
      </c>
      <c r="X121" s="200" t="s">
        <v>247</v>
      </c>
      <c r="Y121" s="200"/>
      <c r="Z121" s="200"/>
      <c r="AA121" s="200" t="str">
        <f>CONCATENATE(V121,W121,X121,Y121,Z121)</f>
        <v xml:space="preserve"> 1-#4 GND</v>
      </c>
      <c r="AB121" s="200"/>
      <c r="AC121" s="200"/>
      <c r="AD121" s="213"/>
    </row>
    <row r="122" spans="19:43">
      <c r="S122" s="233"/>
      <c r="T122" s="234"/>
      <c r="U122" s="234"/>
      <c r="V122" s="234"/>
      <c r="W122" s="234"/>
      <c r="X122" s="234"/>
      <c r="Y122" s="234"/>
      <c r="Z122" s="234"/>
      <c r="AA122" s="234"/>
      <c r="AB122" s="234"/>
      <c r="AC122" s="234"/>
      <c r="AD122" s="235"/>
    </row>
    <row r="126" spans="19:43">
      <c r="AJ126" s="207"/>
    </row>
    <row r="127" spans="19:43">
      <c r="S127" s="200" t="s">
        <v>354</v>
      </c>
      <c r="T127" s="200"/>
      <c r="U127" s="200"/>
      <c r="V127" s="200"/>
      <c r="W127" s="200"/>
      <c r="X127" s="200"/>
      <c r="Y127" s="200"/>
      <c r="Z127" s="200"/>
      <c r="AA127" s="200"/>
      <c r="AB127" s="200"/>
      <c r="AC127" s="200"/>
    </row>
    <row r="128" spans="19:43">
      <c r="S128" s="203"/>
      <c r="T128" s="204"/>
      <c r="U128" s="204"/>
      <c r="V128" s="204"/>
      <c r="W128" s="204"/>
      <c r="X128" s="204"/>
      <c r="Y128" s="204"/>
      <c r="Z128" s="204"/>
      <c r="AA128" s="204"/>
      <c r="AB128" s="204"/>
      <c r="AC128" s="204"/>
      <c r="AD128" s="205"/>
      <c r="AF128" s="206" t="s">
        <v>154</v>
      </c>
      <c r="AG128" s="207"/>
      <c r="AH128" s="207"/>
      <c r="AI128" s="207"/>
      <c r="AJ128" s="207"/>
    </row>
    <row r="129" spans="16:43">
      <c r="P129" s="198" t="s">
        <v>4</v>
      </c>
      <c r="Q129" s="198">
        <f>B6</f>
        <v>114</v>
      </c>
      <c r="S129" s="209"/>
      <c r="T129" s="210" t="s">
        <v>298</v>
      </c>
      <c r="U129" s="210" t="s">
        <v>122</v>
      </c>
      <c r="V129" s="211" t="s">
        <v>150</v>
      </c>
      <c r="W129" s="211" t="s">
        <v>150</v>
      </c>
      <c r="X129" s="211" t="s">
        <v>128</v>
      </c>
      <c r="Y129" s="212" t="str">
        <f>IF($Q$130=60,AG129,IF($Q$130=75,AH129,IF($Q$130=90,AI129)))</f>
        <v>75 C</v>
      </c>
      <c r="Z129" s="211" t="s">
        <v>150</v>
      </c>
      <c r="AA129" s="210" t="s">
        <v>298</v>
      </c>
      <c r="AB129" s="211" t="s">
        <v>294</v>
      </c>
      <c r="AC129" s="211" t="s">
        <v>221</v>
      </c>
      <c r="AD129" s="213"/>
      <c r="AF129" s="211" t="s">
        <v>150</v>
      </c>
      <c r="AG129" s="211" t="s">
        <v>151</v>
      </c>
      <c r="AH129" s="211" t="s">
        <v>152</v>
      </c>
      <c r="AI129" s="211" t="s">
        <v>153</v>
      </c>
      <c r="AJ129" s="212" t="s">
        <v>538</v>
      </c>
    </row>
    <row r="130" spans="16:43">
      <c r="P130" s="198" t="s">
        <v>329</v>
      </c>
      <c r="Q130" s="198">
        <f>B7</f>
        <v>75</v>
      </c>
      <c r="S130" s="209"/>
      <c r="T130" s="214" t="s">
        <v>300</v>
      </c>
      <c r="U130" s="214"/>
      <c r="V130" s="215" t="s">
        <v>133</v>
      </c>
      <c r="W130" s="215" t="s">
        <v>133</v>
      </c>
      <c r="X130" s="215" t="s">
        <v>133</v>
      </c>
      <c r="Y130" s="215" t="s">
        <v>4</v>
      </c>
      <c r="Z130" s="215" t="s">
        <v>133</v>
      </c>
      <c r="AA130" s="214" t="s">
        <v>300</v>
      </c>
      <c r="AB130" s="215" t="s">
        <v>296</v>
      </c>
      <c r="AC130" s="215" t="s">
        <v>224</v>
      </c>
      <c r="AD130" s="213"/>
      <c r="AF130" s="215" t="s">
        <v>133</v>
      </c>
      <c r="AG130" s="215" t="s">
        <v>4</v>
      </c>
      <c r="AH130" s="215" t="s">
        <v>4</v>
      </c>
      <c r="AI130" s="215" t="s">
        <v>4</v>
      </c>
      <c r="AJ130" s="224" t="s">
        <v>537</v>
      </c>
    </row>
    <row r="131" spans="16:43">
      <c r="S131" s="209"/>
      <c r="T131" s="217"/>
      <c r="U131" s="217"/>
      <c r="V131" s="215" t="s">
        <v>156</v>
      </c>
      <c r="W131" s="215"/>
      <c r="X131" s="215"/>
      <c r="Y131" s="215" t="s">
        <v>160</v>
      </c>
      <c r="Z131" s="215" t="s">
        <v>30</v>
      </c>
      <c r="AA131" s="217"/>
      <c r="AB131" s="218"/>
      <c r="AC131" s="218" t="s">
        <v>160</v>
      </c>
      <c r="AD131" s="213"/>
      <c r="AF131" s="215" t="s">
        <v>156</v>
      </c>
      <c r="AG131" s="215" t="s">
        <v>160</v>
      </c>
      <c r="AH131" s="215" t="s">
        <v>160</v>
      </c>
      <c r="AI131" s="215" t="s">
        <v>160</v>
      </c>
      <c r="AJ131" s="217"/>
    </row>
    <row r="132" spans="16:43">
      <c r="S132" s="209"/>
      <c r="T132" s="210">
        <v>100</v>
      </c>
      <c r="U132" s="210">
        <v>0</v>
      </c>
      <c r="V132" s="220" t="s">
        <v>330</v>
      </c>
      <c r="W132" s="220" t="s">
        <v>158</v>
      </c>
      <c r="X132" s="220" t="s">
        <v>158</v>
      </c>
      <c r="Y132" s="212">
        <f t="shared" ref="Y132:Y141" si="18">IF($Q$130=60,AG132,IF($Q$130=75,AH132,IF($Q$130=90,AI132)))</f>
        <v>50</v>
      </c>
      <c r="Z132" s="210">
        <v>5</v>
      </c>
      <c r="AA132" s="210">
        <v>100</v>
      </c>
      <c r="AB132" s="210">
        <v>1482</v>
      </c>
      <c r="AC132" s="213">
        <v>0.80800000000000005</v>
      </c>
      <c r="AD132" s="213"/>
      <c r="AF132" s="211" t="s">
        <v>158</v>
      </c>
      <c r="AG132" s="211">
        <v>40</v>
      </c>
      <c r="AH132" s="211">
        <v>50</v>
      </c>
      <c r="AI132" s="211">
        <v>60</v>
      </c>
      <c r="AJ132" s="210"/>
    </row>
    <row r="133" spans="16:43">
      <c r="S133" s="209"/>
      <c r="T133" s="214">
        <v>101</v>
      </c>
      <c r="U133" s="214">
        <f t="shared" ref="U133:U142" si="19">Y132+0.0000001</f>
        <v>50.000000100000001</v>
      </c>
      <c r="V133" s="223" t="s">
        <v>331</v>
      </c>
      <c r="W133" s="223" t="s">
        <v>161</v>
      </c>
      <c r="X133" s="223" t="s">
        <v>158</v>
      </c>
      <c r="Y133" s="224">
        <f t="shared" si="18"/>
        <v>65</v>
      </c>
      <c r="Z133" s="214">
        <v>6</v>
      </c>
      <c r="AA133" s="214">
        <v>101</v>
      </c>
      <c r="AB133" s="214">
        <v>2353</v>
      </c>
      <c r="AC133" s="213">
        <v>0.50800000000000001</v>
      </c>
      <c r="AD133" s="213"/>
      <c r="AF133" s="215" t="s">
        <v>161</v>
      </c>
      <c r="AG133" s="215">
        <v>55</v>
      </c>
      <c r="AH133" s="215">
        <v>65</v>
      </c>
      <c r="AI133" s="215">
        <v>75</v>
      </c>
      <c r="AJ133" s="214"/>
    </row>
    <row r="134" spans="16:43">
      <c r="S134" s="209"/>
      <c r="T134" s="214">
        <v>102</v>
      </c>
      <c r="U134" s="214">
        <f t="shared" si="19"/>
        <v>65.000000099999994</v>
      </c>
      <c r="V134" s="223" t="s">
        <v>332</v>
      </c>
      <c r="W134" s="223" t="s">
        <v>162</v>
      </c>
      <c r="X134" s="223" t="s">
        <v>161</v>
      </c>
      <c r="Y134" s="224">
        <f t="shared" si="18"/>
        <v>100</v>
      </c>
      <c r="Z134" s="214">
        <v>8</v>
      </c>
      <c r="AA134" s="214">
        <v>102</v>
      </c>
      <c r="AB134" s="214">
        <v>3734</v>
      </c>
      <c r="AC134" s="213">
        <v>0.31900000000000001</v>
      </c>
      <c r="AD134" s="213"/>
      <c r="AF134" s="215" t="s">
        <v>162</v>
      </c>
      <c r="AG134" s="215">
        <f>IF($B$2="YES",AJ134,75)</f>
        <v>100</v>
      </c>
      <c r="AH134" s="215">
        <f>IF($B$2="YES",AJ134,90)</f>
        <v>100</v>
      </c>
      <c r="AI134" s="215">
        <v>100</v>
      </c>
      <c r="AJ134" s="214">
        <v>100</v>
      </c>
      <c r="AL134" s="198">
        <f>IF(Q$130=60,IF(AND($B$2="YES",$T$144=$T134),1,0),0)</f>
        <v>0</v>
      </c>
      <c r="AM134" s="198">
        <f>IF(Q$130=75,IF(AND($B$2="YES",$T$144=$T134),1,0),0)</f>
        <v>0</v>
      </c>
    </row>
    <row r="135" spans="16:43">
      <c r="S135" s="209"/>
      <c r="T135" s="214">
        <v>103</v>
      </c>
      <c r="U135" s="214">
        <f t="shared" si="19"/>
        <v>100.00000009999999</v>
      </c>
      <c r="V135" s="223" t="s">
        <v>355</v>
      </c>
      <c r="W135" s="223" t="s">
        <v>164</v>
      </c>
      <c r="X135" s="223" t="s">
        <v>161</v>
      </c>
      <c r="Y135" s="224">
        <f t="shared" si="18"/>
        <v>110</v>
      </c>
      <c r="Z135" s="214">
        <v>9</v>
      </c>
      <c r="AA135" s="214">
        <v>103</v>
      </c>
      <c r="AB135" s="214">
        <v>4686</v>
      </c>
      <c r="AC135" s="213">
        <v>0.253</v>
      </c>
      <c r="AD135" s="213"/>
      <c r="AF135" s="215" t="s">
        <v>164</v>
      </c>
      <c r="AG135" s="215">
        <f>IF($B$2="YES",AJ135,85)</f>
        <v>110</v>
      </c>
      <c r="AH135" s="215">
        <f>IF($B$2="YES",AJ135,100)</f>
        <v>110</v>
      </c>
      <c r="AI135" s="215">
        <v>115</v>
      </c>
      <c r="AJ135" s="214">
        <v>110</v>
      </c>
      <c r="AL135" s="198">
        <f t="shared" ref="AL135:AL141" si="20">IF(Q$130=60,IF(AND($B$2="YES",$T$144=$T135),1,0),0)</f>
        <v>0</v>
      </c>
      <c r="AM135" s="198">
        <f t="shared" ref="AM135:AM141" si="21">IF(Q$130=75,IF(AND($B$2="YES",$T$144=$T135),1,0),0)</f>
        <v>0</v>
      </c>
    </row>
    <row r="136" spans="16:43">
      <c r="S136" s="209"/>
      <c r="T136" s="214">
        <v>104</v>
      </c>
      <c r="U136" s="214">
        <f t="shared" si="19"/>
        <v>110.00000009999999</v>
      </c>
      <c r="V136" s="223" t="s">
        <v>356</v>
      </c>
      <c r="W136" s="223" t="s">
        <v>165</v>
      </c>
      <c r="X136" s="223" t="s">
        <v>161</v>
      </c>
      <c r="Y136" s="224">
        <f t="shared" si="18"/>
        <v>125</v>
      </c>
      <c r="Z136" s="214">
        <v>10</v>
      </c>
      <c r="AA136" s="214">
        <v>104</v>
      </c>
      <c r="AB136" s="214">
        <v>5852</v>
      </c>
      <c r="AC136" s="213">
        <v>0.20100000000000001</v>
      </c>
      <c r="AD136" s="213"/>
      <c r="AF136" s="215" t="s">
        <v>165</v>
      </c>
      <c r="AG136" s="215">
        <f>IF($B$2="YES",AJ136,100)</f>
        <v>125</v>
      </c>
      <c r="AH136" s="215">
        <f>IF($B$2="YES",AJ136,120)</f>
        <v>125</v>
      </c>
      <c r="AI136" s="215">
        <v>135</v>
      </c>
      <c r="AJ136" s="214">
        <v>125</v>
      </c>
      <c r="AL136" s="198">
        <f t="shared" si="20"/>
        <v>0</v>
      </c>
      <c r="AM136" s="198">
        <f t="shared" si="21"/>
        <v>1</v>
      </c>
    </row>
    <row r="137" spans="16:43">
      <c r="S137" s="209"/>
      <c r="T137" s="214">
        <v>105</v>
      </c>
      <c r="U137" s="214">
        <f t="shared" si="19"/>
        <v>125.00000009999999</v>
      </c>
      <c r="V137" s="223" t="s">
        <v>357</v>
      </c>
      <c r="W137" s="223" t="s">
        <v>166</v>
      </c>
      <c r="X137" s="223" t="s">
        <v>161</v>
      </c>
      <c r="Y137" s="224">
        <f t="shared" si="18"/>
        <v>150</v>
      </c>
      <c r="Z137" s="214">
        <v>11</v>
      </c>
      <c r="AA137" s="214">
        <v>105</v>
      </c>
      <c r="AB137" s="214">
        <v>7327</v>
      </c>
      <c r="AC137" s="213">
        <v>0.159</v>
      </c>
      <c r="AD137" s="213"/>
      <c r="AF137" s="215" t="s">
        <v>166</v>
      </c>
      <c r="AG137" s="215">
        <f>IF($B$2="YES",AJ137,115)</f>
        <v>150</v>
      </c>
      <c r="AH137" s="215">
        <f>IF($B$2="YES",AJ137,135)</f>
        <v>150</v>
      </c>
      <c r="AI137" s="215">
        <v>150</v>
      </c>
      <c r="AJ137" s="214">
        <v>150</v>
      </c>
      <c r="AL137" s="198">
        <f t="shared" si="20"/>
        <v>0</v>
      </c>
      <c r="AM137" s="198">
        <f t="shared" si="21"/>
        <v>0</v>
      </c>
    </row>
    <row r="138" spans="16:43">
      <c r="S138" s="209"/>
      <c r="T138" s="214">
        <v>106</v>
      </c>
      <c r="U138" s="214">
        <f t="shared" si="19"/>
        <v>150.00000009999999</v>
      </c>
      <c r="V138" s="223" t="s">
        <v>358</v>
      </c>
      <c r="W138" s="223" t="s">
        <v>169</v>
      </c>
      <c r="X138" s="223" t="s">
        <v>161</v>
      </c>
      <c r="Y138" s="224">
        <f t="shared" si="18"/>
        <v>175</v>
      </c>
      <c r="Z138" s="214">
        <v>12</v>
      </c>
      <c r="AA138" s="214">
        <v>106</v>
      </c>
      <c r="AB138" s="214">
        <v>9077</v>
      </c>
      <c r="AC138" s="213">
        <v>0.126</v>
      </c>
      <c r="AD138" s="213"/>
      <c r="AF138" s="215" t="s">
        <v>169</v>
      </c>
      <c r="AG138" s="215">
        <f>IF($B$2="YES",AJ138,130)</f>
        <v>175</v>
      </c>
      <c r="AH138" s="215">
        <f>IF($B$2="YES",AJ138,155)</f>
        <v>175</v>
      </c>
      <c r="AI138" s="215">
        <v>175</v>
      </c>
      <c r="AJ138" s="214">
        <v>175</v>
      </c>
      <c r="AL138" s="198">
        <f t="shared" si="20"/>
        <v>0</v>
      </c>
      <c r="AM138" s="198">
        <f t="shared" si="21"/>
        <v>0</v>
      </c>
    </row>
    <row r="139" spans="16:43">
      <c r="S139" s="209"/>
      <c r="T139" s="214">
        <v>107</v>
      </c>
      <c r="U139" s="214">
        <f t="shared" si="19"/>
        <v>175.00000009999999</v>
      </c>
      <c r="V139" s="223" t="s">
        <v>359</v>
      </c>
      <c r="W139" s="223" t="s">
        <v>170</v>
      </c>
      <c r="X139" s="223" t="s">
        <v>162</v>
      </c>
      <c r="Y139" s="224">
        <f t="shared" si="18"/>
        <v>200</v>
      </c>
      <c r="Z139" s="214">
        <v>13</v>
      </c>
      <c r="AA139" s="214">
        <v>107</v>
      </c>
      <c r="AB139" s="214">
        <v>11185</v>
      </c>
      <c r="AC139" s="213">
        <v>0.1</v>
      </c>
      <c r="AD139" s="213"/>
      <c r="AF139" s="215" t="s">
        <v>170</v>
      </c>
      <c r="AG139" s="215">
        <f>IF($B$2="YES",AJ139,150)</f>
        <v>200</v>
      </c>
      <c r="AH139" s="215">
        <f>IF($B$2="YES",AJ139,180)</f>
        <v>200</v>
      </c>
      <c r="AI139" s="215">
        <v>205</v>
      </c>
      <c r="AJ139" s="214">
        <v>200</v>
      </c>
      <c r="AL139" s="198">
        <f t="shared" si="20"/>
        <v>0</v>
      </c>
      <c r="AM139" s="198">
        <f t="shared" si="21"/>
        <v>0</v>
      </c>
    </row>
    <row r="140" spans="16:43">
      <c r="S140" s="209"/>
      <c r="T140" s="214">
        <v>108</v>
      </c>
      <c r="U140" s="214">
        <f t="shared" si="19"/>
        <v>200.00000009999999</v>
      </c>
      <c r="V140" s="223" t="s">
        <v>360</v>
      </c>
      <c r="W140" s="223" t="s">
        <v>172</v>
      </c>
      <c r="X140" s="223" t="s">
        <v>164</v>
      </c>
      <c r="Y140" s="224">
        <f t="shared" si="18"/>
        <v>225</v>
      </c>
      <c r="Z140" s="214">
        <v>14</v>
      </c>
      <c r="AA140" s="214">
        <v>108</v>
      </c>
      <c r="AB140" s="214">
        <v>12797</v>
      </c>
      <c r="AC140" s="213">
        <v>8.4699999999999998E-2</v>
      </c>
      <c r="AD140" s="213"/>
      <c r="AF140" s="215" t="s">
        <v>172</v>
      </c>
      <c r="AG140" s="215">
        <f>IF($B$2="YES",AJ140,170)</f>
        <v>225</v>
      </c>
      <c r="AH140" s="215">
        <f>IF($B$2="YES",AJ140,205)</f>
        <v>225</v>
      </c>
      <c r="AI140" s="215">
        <v>230</v>
      </c>
      <c r="AJ140" s="214">
        <v>225</v>
      </c>
      <c r="AL140" s="198">
        <f t="shared" si="20"/>
        <v>0</v>
      </c>
      <c r="AM140" s="198">
        <f t="shared" si="21"/>
        <v>0</v>
      </c>
    </row>
    <row r="141" spans="16:43">
      <c r="S141" s="209"/>
      <c r="T141" s="214">
        <v>109</v>
      </c>
      <c r="U141" s="214">
        <f t="shared" si="19"/>
        <v>225.00000009999999</v>
      </c>
      <c r="V141" s="223" t="s">
        <v>361</v>
      </c>
      <c r="W141" s="223" t="s">
        <v>175</v>
      </c>
      <c r="X141" s="223" t="s">
        <v>165</v>
      </c>
      <c r="Y141" s="224">
        <f t="shared" si="18"/>
        <v>250</v>
      </c>
      <c r="Z141" s="214">
        <v>16</v>
      </c>
      <c r="AA141" s="214">
        <v>109</v>
      </c>
      <c r="AB141" s="214">
        <v>16795</v>
      </c>
      <c r="AC141" s="213">
        <v>6.0499999999999998E-2</v>
      </c>
      <c r="AD141" s="213"/>
      <c r="AF141" s="218" t="s">
        <v>175</v>
      </c>
      <c r="AG141" s="218">
        <f>IF($B$2="YES",AJ141,210)</f>
        <v>250</v>
      </c>
      <c r="AH141" s="218">
        <f>IF($B$2="YES",AJ141,250)</f>
        <v>250</v>
      </c>
      <c r="AI141" s="218">
        <v>280</v>
      </c>
      <c r="AJ141" s="217">
        <v>250</v>
      </c>
      <c r="AL141" s="198">
        <f t="shared" si="20"/>
        <v>0</v>
      </c>
      <c r="AM141" s="198">
        <f t="shared" si="21"/>
        <v>0</v>
      </c>
      <c r="AQ141" s="198">
        <f>SUM(AL134:AM141)</f>
        <v>1</v>
      </c>
    </row>
    <row r="142" spans="16:43">
      <c r="S142" s="209"/>
      <c r="T142" s="217">
        <v>110</v>
      </c>
      <c r="U142" s="217">
        <f t="shared" si="19"/>
        <v>250.00000009999999</v>
      </c>
      <c r="V142" s="225" t="s">
        <v>317</v>
      </c>
      <c r="W142" s="225" t="s">
        <v>317</v>
      </c>
      <c r="X142" s="225" t="s">
        <v>317</v>
      </c>
      <c r="Y142" s="226">
        <f>Y141</f>
        <v>250</v>
      </c>
      <c r="Z142" s="217" t="s">
        <v>317</v>
      </c>
      <c r="AA142" s="217">
        <v>110</v>
      </c>
      <c r="AB142" s="227" t="s">
        <v>317</v>
      </c>
      <c r="AC142" s="227" t="s">
        <v>317</v>
      </c>
      <c r="AD142" s="213"/>
    </row>
    <row r="143" spans="16:43">
      <c r="S143" s="209"/>
      <c r="T143" s="200"/>
      <c r="U143" s="200"/>
      <c r="V143" s="230"/>
      <c r="W143" s="230"/>
      <c r="X143" s="230"/>
      <c r="Y143" s="200"/>
      <c r="Z143" s="200"/>
      <c r="AA143" s="200"/>
      <c r="AB143" s="200"/>
      <c r="AC143" s="200"/>
      <c r="AD143" s="213"/>
    </row>
    <row r="144" spans="16:43">
      <c r="S144" s="209"/>
      <c r="T144" s="200">
        <f>VLOOKUP(AA144,T132:AA142,1)</f>
        <v>104</v>
      </c>
      <c r="U144" s="200"/>
      <c r="V144" s="200" t="str">
        <f>VLOOKUP(Q129,U132:AB142,2)</f>
        <v>1/0-1/0-1/0-1/0-4</v>
      </c>
      <c r="W144" s="200" t="str">
        <f>VLOOKUP(Q129,U132:AB142,3)</f>
        <v>#1/0</v>
      </c>
      <c r="X144" s="200" t="str">
        <f>VLOOKUP(Q129,U132:AB142,4)</f>
        <v>#4</v>
      </c>
      <c r="Y144" s="200">
        <f>VLOOKUP(Q129,U132:AB142,5)</f>
        <v>125</v>
      </c>
      <c r="Z144" s="200">
        <f>VLOOKUP(Q129,U132:AB142,6)</f>
        <v>10</v>
      </c>
      <c r="AA144" s="200">
        <f>VLOOKUP(Q129,U132:AB142,7)</f>
        <v>104</v>
      </c>
      <c r="AB144" s="200">
        <f>VLOOKUP(Q129,U132:AB142,8)</f>
        <v>5852</v>
      </c>
      <c r="AC144" s="200">
        <f>VLOOKUP(Q129,U132:AC142,9)</f>
        <v>0.20100000000000001</v>
      </c>
      <c r="AD144" s="213"/>
    </row>
    <row r="145" spans="16:40">
      <c r="S145" s="209"/>
      <c r="T145" s="200"/>
      <c r="U145" s="200"/>
      <c r="V145" s="200"/>
      <c r="W145" s="200"/>
      <c r="X145" s="200"/>
      <c r="Y145" s="200"/>
      <c r="Z145" s="200"/>
      <c r="AA145" s="200"/>
      <c r="AB145" s="200"/>
      <c r="AC145" s="200"/>
      <c r="AD145" s="213"/>
    </row>
    <row r="146" spans="16:40">
      <c r="S146" s="209"/>
      <c r="T146" s="200"/>
      <c r="U146" s="200"/>
      <c r="V146" s="200" t="s">
        <v>353</v>
      </c>
      <c r="W146" s="200"/>
      <c r="X146" s="200"/>
      <c r="Y146" s="200"/>
      <c r="Z146" s="200"/>
      <c r="AA146" s="200" t="str">
        <f>CONCATENATE(V146,W146,X146,Y146)</f>
        <v xml:space="preserve"> MC CABLE</v>
      </c>
      <c r="AB146" s="200"/>
      <c r="AC146" s="200"/>
      <c r="AD146" s="213"/>
    </row>
    <row r="147" spans="16:40">
      <c r="S147" s="209"/>
      <c r="T147" s="200"/>
      <c r="U147" s="200"/>
      <c r="V147" s="200" t="s">
        <v>340</v>
      </c>
      <c r="W147" s="200" t="str">
        <f>W144</f>
        <v>#1/0</v>
      </c>
      <c r="X147" s="200" t="s">
        <v>320</v>
      </c>
      <c r="Y147" s="200" t="s">
        <v>66</v>
      </c>
      <c r="Z147" s="200" t="s">
        <v>66</v>
      </c>
      <c r="AA147" s="200" t="str">
        <f>CONCATENATE(V147,W147,X147,Y147,Z147)</f>
        <v xml:space="preserve"> 4-#1/0 AL  </v>
      </c>
      <c r="AB147" s="200"/>
      <c r="AC147" s="200"/>
      <c r="AD147" s="213"/>
    </row>
    <row r="148" spans="16:40">
      <c r="S148" s="209"/>
      <c r="T148" s="200"/>
      <c r="U148" s="200"/>
      <c r="V148" s="200" t="s">
        <v>322</v>
      </c>
      <c r="W148" s="200" t="str">
        <f>X144</f>
        <v>#4</v>
      </c>
      <c r="X148" s="200" t="s">
        <v>247</v>
      </c>
      <c r="Y148" s="200"/>
      <c r="Z148" s="200"/>
      <c r="AA148" s="200" t="str">
        <f>CONCATENATE(V148,W148,X148,Y148,Z148)</f>
        <v xml:space="preserve"> 1-#4 GND</v>
      </c>
      <c r="AB148" s="200"/>
      <c r="AC148" s="200"/>
      <c r="AD148" s="213"/>
    </row>
    <row r="149" spans="16:40">
      <c r="S149" s="233"/>
      <c r="T149" s="234"/>
      <c r="U149" s="234"/>
      <c r="V149" s="234"/>
      <c r="W149" s="234"/>
      <c r="X149" s="234"/>
      <c r="Y149" s="234"/>
      <c r="Z149" s="234"/>
      <c r="AA149" s="234"/>
      <c r="AB149" s="234"/>
      <c r="AC149" s="234"/>
      <c r="AD149" s="235"/>
    </row>
    <row r="150" spans="16:40">
      <c r="AJ150" s="207"/>
    </row>
    <row r="153" spans="16:40">
      <c r="S153" s="200" t="s">
        <v>362</v>
      </c>
      <c r="T153" s="200"/>
      <c r="U153" s="200"/>
      <c r="V153" s="200"/>
      <c r="W153" s="200"/>
      <c r="X153" s="200"/>
      <c r="Y153" s="200"/>
      <c r="Z153" s="200"/>
      <c r="AA153" s="200"/>
      <c r="AB153" s="200"/>
      <c r="AC153" s="200"/>
    </row>
    <row r="154" spans="16:40">
      <c r="S154" s="203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5"/>
      <c r="AF154" s="206" t="s">
        <v>154</v>
      </c>
      <c r="AG154" s="207"/>
      <c r="AH154" s="207"/>
      <c r="AI154" s="207"/>
    </row>
    <row r="155" spans="16:40">
      <c r="P155" s="198" t="s">
        <v>4</v>
      </c>
      <c r="Q155" s="198">
        <f>B6</f>
        <v>114</v>
      </c>
      <c r="S155" s="209"/>
      <c r="T155" s="210" t="s">
        <v>298</v>
      </c>
      <c r="U155" s="210" t="s">
        <v>122</v>
      </c>
      <c r="V155" s="211" t="s">
        <v>150</v>
      </c>
      <c r="W155" s="211" t="s">
        <v>150</v>
      </c>
      <c r="X155" s="211" t="s">
        <v>128</v>
      </c>
      <c r="Y155" s="212" t="str">
        <f>IF($Q$156=60,AG155,IF($Q$156=75,AH155,IF($Q$156=90,AI155)))</f>
        <v>75 C</v>
      </c>
      <c r="Z155" s="211" t="s">
        <v>150</v>
      </c>
      <c r="AA155" s="210" t="s">
        <v>298</v>
      </c>
      <c r="AB155" s="211" t="s">
        <v>294</v>
      </c>
      <c r="AC155" s="211" t="s">
        <v>221</v>
      </c>
      <c r="AD155" s="213"/>
      <c r="AF155" s="211" t="s">
        <v>150</v>
      </c>
      <c r="AG155" s="211" t="s">
        <v>151</v>
      </c>
      <c r="AH155" s="211" t="s">
        <v>152</v>
      </c>
      <c r="AI155" s="211" t="s">
        <v>153</v>
      </c>
      <c r="AJ155" s="212" t="s">
        <v>538</v>
      </c>
    </row>
    <row r="156" spans="16:40">
      <c r="P156" s="198" t="s">
        <v>329</v>
      </c>
      <c r="Q156" s="198">
        <f>B7</f>
        <v>75</v>
      </c>
      <c r="S156" s="209"/>
      <c r="T156" s="214" t="s">
        <v>300</v>
      </c>
      <c r="U156" s="214"/>
      <c r="V156" s="215" t="s">
        <v>133</v>
      </c>
      <c r="W156" s="215" t="s">
        <v>133</v>
      </c>
      <c r="X156" s="215" t="s">
        <v>133</v>
      </c>
      <c r="Y156" s="215" t="s">
        <v>4</v>
      </c>
      <c r="Z156" s="215" t="s">
        <v>133</v>
      </c>
      <c r="AA156" s="214" t="s">
        <v>300</v>
      </c>
      <c r="AB156" s="215" t="s">
        <v>296</v>
      </c>
      <c r="AC156" s="215" t="s">
        <v>224</v>
      </c>
      <c r="AD156" s="213"/>
      <c r="AF156" s="215" t="s">
        <v>133</v>
      </c>
      <c r="AG156" s="215" t="s">
        <v>4</v>
      </c>
      <c r="AH156" s="215" t="s">
        <v>4</v>
      </c>
      <c r="AI156" s="215" t="s">
        <v>4</v>
      </c>
      <c r="AJ156" s="224" t="s">
        <v>537</v>
      </c>
    </row>
    <row r="157" spans="16:40">
      <c r="S157" s="209"/>
      <c r="T157" s="217"/>
      <c r="U157" s="217"/>
      <c r="V157" s="215" t="s">
        <v>156</v>
      </c>
      <c r="W157" s="215"/>
      <c r="X157" s="215"/>
      <c r="Y157" s="215" t="s">
        <v>160</v>
      </c>
      <c r="Z157" s="215" t="s">
        <v>30</v>
      </c>
      <c r="AA157" s="217"/>
      <c r="AB157" s="218"/>
      <c r="AC157" s="218" t="s">
        <v>159</v>
      </c>
      <c r="AD157" s="213"/>
      <c r="AF157" s="215" t="s">
        <v>156</v>
      </c>
      <c r="AG157" s="215" t="s">
        <v>159</v>
      </c>
      <c r="AH157" s="215" t="s">
        <v>159</v>
      </c>
      <c r="AI157" s="215" t="s">
        <v>159</v>
      </c>
      <c r="AJ157" s="217"/>
    </row>
    <row r="158" spans="16:40">
      <c r="S158" s="209"/>
      <c r="T158" s="210">
        <v>100</v>
      </c>
      <c r="U158" s="210">
        <v>0</v>
      </c>
      <c r="V158" s="220" t="s">
        <v>363</v>
      </c>
      <c r="W158" s="220" t="s">
        <v>161</v>
      </c>
      <c r="X158" s="220" t="s">
        <v>217</v>
      </c>
      <c r="Y158" s="212">
        <f t="shared" ref="Y158:Y167" si="22">IF($Q$156=60,AG158,IF($Q$156=75,AH158,IF($Q$156=90,AI158)))</f>
        <v>100</v>
      </c>
      <c r="Z158" s="210">
        <v>6</v>
      </c>
      <c r="AA158" s="210">
        <v>100</v>
      </c>
      <c r="AB158" s="210">
        <v>3830</v>
      </c>
      <c r="AC158" s="213">
        <v>0.308</v>
      </c>
      <c r="AD158" s="213"/>
      <c r="AF158" s="215" t="s">
        <v>161</v>
      </c>
      <c r="AG158" s="215">
        <f>IF($B$2="YES",AJ158,70)</f>
        <v>100</v>
      </c>
      <c r="AH158" s="215">
        <f>IF($B$2="YES",AJ158,85)</f>
        <v>100</v>
      </c>
      <c r="AI158" s="215">
        <f>IF($B$2="YES",AJ158,95)</f>
        <v>100</v>
      </c>
      <c r="AJ158" s="210">
        <v>100</v>
      </c>
      <c r="AL158" s="198">
        <f>IF(Q$156=60,IF(AND($B$2="YES",$T$170=$T158),1,0),0)</f>
        <v>0</v>
      </c>
      <c r="AM158" s="198">
        <f>IF(Q$156=75,IF(AND($B$2="YES",$T$170=$T158),1,0),0)</f>
        <v>0</v>
      </c>
      <c r="AN158" s="198">
        <f>IF(Q$156=90,IF(AND($B$2="YES",$T$170=$T158),1,0),0)</f>
        <v>0</v>
      </c>
    </row>
    <row r="159" spans="16:40">
      <c r="S159" s="209"/>
      <c r="T159" s="214">
        <v>101</v>
      </c>
      <c r="U159" s="214">
        <f t="shared" ref="U159:U168" si="23">Y158+0.0000001</f>
        <v>100.00000009999999</v>
      </c>
      <c r="V159" s="223" t="s">
        <v>364</v>
      </c>
      <c r="W159" s="223" t="s">
        <v>163</v>
      </c>
      <c r="X159" s="223" t="s">
        <v>158</v>
      </c>
      <c r="Y159" s="224">
        <f t="shared" si="22"/>
        <v>110</v>
      </c>
      <c r="Z159" s="214">
        <v>7</v>
      </c>
      <c r="AA159" s="214">
        <v>101</v>
      </c>
      <c r="AB159" s="214">
        <v>4820</v>
      </c>
      <c r="AC159" s="213">
        <v>0.245</v>
      </c>
      <c r="AD159" s="213"/>
      <c r="AF159" s="215" t="s">
        <v>163</v>
      </c>
      <c r="AG159" s="215">
        <f>IF($B$2="YES",AJ159,85)</f>
        <v>110</v>
      </c>
      <c r="AH159" s="215">
        <f>IF($B$2="YES",AJ159,100)</f>
        <v>110</v>
      </c>
      <c r="AI159" s="215">
        <v>110</v>
      </c>
      <c r="AJ159" s="214">
        <v>110</v>
      </c>
      <c r="AL159" s="198">
        <f t="shared" ref="AL159:AL167" si="24">IF(Q$156=60,IF(AND($B$2="YES",$T$170=$T159),1,0),0)</f>
        <v>0</v>
      </c>
      <c r="AM159" s="198">
        <f t="shared" ref="AM159:AM167" si="25">IF(Q$156=75,IF(AND($B$2="YES",$T$170=$T159),1,0),0)</f>
        <v>0</v>
      </c>
    </row>
    <row r="160" spans="16:40">
      <c r="S160" s="209"/>
      <c r="T160" s="214">
        <v>102</v>
      </c>
      <c r="U160" s="214">
        <f t="shared" si="23"/>
        <v>110.00000009999999</v>
      </c>
      <c r="V160" s="223" t="s">
        <v>365</v>
      </c>
      <c r="W160" s="223" t="s">
        <v>162</v>
      </c>
      <c r="X160" s="223" t="s">
        <v>158</v>
      </c>
      <c r="Y160" s="224">
        <f t="shared" si="22"/>
        <v>125</v>
      </c>
      <c r="Z160" s="214">
        <v>8</v>
      </c>
      <c r="AA160" s="214">
        <v>102</v>
      </c>
      <c r="AB160" s="214">
        <v>5989</v>
      </c>
      <c r="AC160" s="213">
        <v>0.19400000000000001</v>
      </c>
      <c r="AD160" s="213"/>
      <c r="AF160" s="215" t="s">
        <v>162</v>
      </c>
      <c r="AG160" s="215">
        <f>IF($B$2="YES",AJ160,95)</f>
        <v>125</v>
      </c>
      <c r="AH160" s="215">
        <f>IF($B$2="YES",AJ160,115)</f>
        <v>125</v>
      </c>
      <c r="AI160" s="215">
        <v>130</v>
      </c>
      <c r="AJ160" s="214">
        <v>125</v>
      </c>
      <c r="AL160" s="198">
        <f t="shared" si="24"/>
        <v>0</v>
      </c>
      <c r="AM160" s="198">
        <f t="shared" si="25"/>
        <v>1</v>
      </c>
    </row>
    <row r="161" spans="19:43">
      <c r="S161" s="209"/>
      <c r="T161" s="214">
        <v>103</v>
      </c>
      <c r="U161" s="214">
        <f t="shared" si="23"/>
        <v>125.00000009999999</v>
      </c>
      <c r="V161" s="223" t="s">
        <v>366</v>
      </c>
      <c r="W161" s="223" t="s">
        <v>164</v>
      </c>
      <c r="X161" s="223" t="s">
        <v>158</v>
      </c>
      <c r="Y161" s="224">
        <f t="shared" si="22"/>
        <v>150</v>
      </c>
      <c r="Z161" s="214">
        <v>9</v>
      </c>
      <c r="AA161" s="214">
        <v>103</v>
      </c>
      <c r="AB161" s="214">
        <v>7454</v>
      </c>
      <c r="AC161" s="213">
        <v>0.154</v>
      </c>
      <c r="AD161" s="213"/>
      <c r="AF161" s="215" t="s">
        <v>164</v>
      </c>
      <c r="AG161" s="215">
        <f>IF($B$2="YES",AJ161,110)</f>
        <v>150</v>
      </c>
      <c r="AH161" s="215">
        <f>IF($B$2="YES",AJ161,130)</f>
        <v>150</v>
      </c>
      <c r="AI161" s="215">
        <v>150</v>
      </c>
      <c r="AJ161" s="214">
        <v>150</v>
      </c>
      <c r="AL161" s="198">
        <f t="shared" si="24"/>
        <v>0</v>
      </c>
      <c r="AM161" s="198">
        <f t="shared" si="25"/>
        <v>0</v>
      </c>
    </row>
    <row r="162" spans="19:43">
      <c r="S162" s="209"/>
      <c r="T162" s="214">
        <v>104</v>
      </c>
      <c r="U162" s="214">
        <f t="shared" si="23"/>
        <v>150.00000009999999</v>
      </c>
      <c r="V162" s="223" t="s">
        <v>367</v>
      </c>
      <c r="W162" s="223" t="s">
        <v>165</v>
      </c>
      <c r="X162" s="223" t="s">
        <v>158</v>
      </c>
      <c r="Y162" s="224">
        <f t="shared" si="22"/>
        <v>175</v>
      </c>
      <c r="Z162" s="214">
        <v>10</v>
      </c>
      <c r="AA162" s="214">
        <v>104</v>
      </c>
      <c r="AB162" s="214">
        <v>9210</v>
      </c>
      <c r="AC162" s="213">
        <v>0.122</v>
      </c>
      <c r="AD162" s="213"/>
      <c r="AF162" s="215" t="s">
        <v>165</v>
      </c>
      <c r="AG162" s="215">
        <f>IF($B$2="YES",AJ162,125)</f>
        <v>175</v>
      </c>
      <c r="AH162" s="215">
        <f>IF($B$2="YES",AJ162,150)</f>
        <v>175</v>
      </c>
      <c r="AI162" s="215">
        <f>IF($B$2="YES",AJ162,170)</f>
        <v>175</v>
      </c>
      <c r="AJ162" s="214">
        <v>175</v>
      </c>
      <c r="AL162" s="198">
        <f t="shared" si="24"/>
        <v>0</v>
      </c>
      <c r="AM162" s="198">
        <f t="shared" si="25"/>
        <v>0</v>
      </c>
      <c r="AN162" s="198">
        <f>IF(Q$156=90,IF(AND($B$2="YES",$T$170=$T162),1,0),0)</f>
        <v>0</v>
      </c>
    </row>
    <row r="163" spans="19:43">
      <c r="S163" s="209"/>
      <c r="T163" s="214">
        <v>105</v>
      </c>
      <c r="U163" s="214">
        <f t="shared" si="23"/>
        <v>175.00000009999999</v>
      </c>
      <c r="V163" s="223" t="s">
        <v>368</v>
      </c>
      <c r="W163" s="223" t="s">
        <v>166</v>
      </c>
      <c r="X163" s="223" t="s">
        <v>158</v>
      </c>
      <c r="Y163" s="224">
        <f t="shared" si="22"/>
        <v>200</v>
      </c>
      <c r="Z163" s="214">
        <v>11</v>
      </c>
      <c r="AA163" s="214">
        <v>105</v>
      </c>
      <c r="AB163" s="214">
        <v>11245</v>
      </c>
      <c r="AC163" s="213">
        <v>9.6699999999999994E-2</v>
      </c>
      <c r="AD163" s="213"/>
      <c r="AF163" s="215" t="s">
        <v>166</v>
      </c>
      <c r="AG163" s="215">
        <f>IF($B$2="YES",AJ163,145)</f>
        <v>200</v>
      </c>
      <c r="AH163" s="215">
        <f>IF($B$2="YES",AJ163,175)</f>
        <v>200</v>
      </c>
      <c r="AI163" s="215">
        <f>IF($B$2="YES",AJ163,195)</f>
        <v>200</v>
      </c>
      <c r="AJ163" s="214">
        <v>200</v>
      </c>
      <c r="AL163" s="198">
        <f t="shared" si="24"/>
        <v>0</v>
      </c>
      <c r="AM163" s="198">
        <f t="shared" si="25"/>
        <v>0</v>
      </c>
      <c r="AN163" s="198">
        <f>IF(Q$156=90,IF(AND($B$2="YES",$T$170=$T163),1,0),0)</f>
        <v>0</v>
      </c>
    </row>
    <row r="164" spans="19:43">
      <c r="S164" s="209"/>
      <c r="T164" s="214">
        <v>106</v>
      </c>
      <c r="U164" s="214">
        <f t="shared" si="23"/>
        <v>200.00000009999999</v>
      </c>
      <c r="V164" s="223" t="s">
        <v>349</v>
      </c>
      <c r="W164" s="223" t="s">
        <v>169</v>
      </c>
      <c r="X164" s="223" t="s">
        <v>161</v>
      </c>
      <c r="Y164" s="224">
        <f t="shared" si="22"/>
        <v>225</v>
      </c>
      <c r="Z164" s="214">
        <v>12</v>
      </c>
      <c r="AA164" s="214">
        <v>106</v>
      </c>
      <c r="AB164" s="214">
        <v>13656</v>
      </c>
      <c r="AC164" s="213">
        <v>7.6600000000000001E-2</v>
      </c>
      <c r="AD164" s="213"/>
      <c r="AF164" s="215" t="s">
        <v>169</v>
      </c>
      <c r="AG164" s="215">
        <f>IF($B$2="YES",AJ164,165)</f>
        <v>225</v>
      </c>
      <c r="AH164" s="215">
        <f>IF($B$2="YES",AJ164,200)</f>
        <v>225</v>
      </c>
      <c r="AI164" s="215">
        <v>225</v>
      </c>
      <c r="AJ164" s="214">
        <v>225</v>
      </c>
      <c r="AL164" s="198">
        <f t="shared" si="24"/>
        <v>0</v>
      </c>
      <c r="AM164" s="198">
        <f t="shared" si="25"/>
        <v>0</v>
      </c>
    </row>
    <row r="165" spans="19:43">
      <c r="S165" s="209"/>
      <c r="T165" s="214">
        <v>107</v>
      </c>
      <c r="U165" s="214">
        <f t="shared" si="23"/>
        <v>225.00000009999999</v>
      </c>
      <c r="V165" s="223" t="s">
        <v>369</v>
      </c>
      <c r="W165" s="223" t="s">
        <v>170</v>
      </c>
      <c r="X165" s="223" t="s">
        <v>161</v>
      </c>
      <c r="Y165" s="224">
        <f t="shared" si="22"/>
        <v>250</v>
      </c>
      <c r="Z165" s="214">
        <v>13</v>
      </c>
      <c r="AA165" s="214">
        <v>107</v>
      </c>
      <c r="AB165" s="214">
        <v>16392</v>
      </c>
      <c r="AC165" s="213">
        <v>6.08E-2</v>
      </c>
      <c r="AD165" s="213"/>
      <c r="AF165" s="215" t="s">
        <v>170</v>
      </c>
      <c r="AG165" s="215">
        <f>IF($B$2="YES",AJ165,195)</f>
        <v>250</v>
      </c>
      <c r="AH165" s="215">
        <f>IF($B$2="YES",AJ165,230)</f>
        <v>250</v>
      </c>
      <c r="AI165" s="215">
        <v>260</v>
      </c>
      <c r="AJ165" s="214">
        <v>250</v>
      </c>
      <c r="AL165" s="198">
        <f t="shared" si="24"/>
        <v>0</v>
      </c>
      <c r="AM165" s="198">
        <f t="shared" si="25"/>
        <v>0</v>
      </c>
    </row>
    <row r="166" spans="19:43">
      <c r="S166" s="209"/>
      <c r="T166" s="214">
        <v>108</v>
      </c>
      <c r="U166" s="214">
        <f t="shared" si="23"/>
        <v>250.00000009999999</v>
      </c>
      <c r="V166" s="223" t="s">
        <v>370</v>
      </c>
      <c r="W166" s="223" t="s">
        <v>172</v>
      </c>
      <c r="X166" s="223" t="s">
        <v>161</v>
      </c>
      <c r="Y166" s="224">
        <f t="shared" si="22"/>
        <v>300</v>
      </c>
      <c r="Z166" s="214">
        <v>14</v>
      </c>
      <c r="AA166" s="214">
        <v>108</v>
      </c>
      <c r="AB166" s="214">
        <v>18311</v>
      </c>
      <c r="AC166" s="213">
        <v>5.1499999999999997E-2</v>
      </c>
      <c r="AD166" s="213"/>
      <c r="AF166" s="215" t="s">
        <v>172</v>
      </c>
      <c r="AG166" s="215">
        <f>IF($B$2="YES",AJ166,215)</f>
        <v>300</v>
      </c>
      <c r="AH166" s="215">
        <f>IF($B$2="YES",AJ166,255)</f>
        <v>300</v>
      </c>
      <c r="AI166" s="215">
        <f>IF($B$2="YES",AJ166,290)</f>
        <v>300</v>
      </c>
      <c r="AJ166" s="214">
        <v>300</v>
      </c>
      <c r="AL166" s="198">
        <f t="shared" si="24"/>
        <v>0</v>
      </c>
      <c r="AM166" s="198">
        <f t="shared" si="25"/>
        <v>0</v>
      </c>
      <c r="AN166" s="198">
        <f>IF(Q$156=90,IF(AND($B$2="YES",$T$170=$T166),1,0),0)</f>
        <v>0</v>
      </c>
    </row>
    <row r="167" spans="19:43">
      <c r="S167" s="209"/>
      <c r="T167" s="214">
        <v>109</v>
      </c>
      <c r="U167" s="214">
        <f t="shared" si="23"/>
        <v>300.00000010000002</v>
      </c>
      <c r="V167" s="223" t="s">
        <v>371</v>
      </c>
      <c r="W167" s="223" t="s">
        <v>175</v>
      </c>
      <c r="X167" s="223" t="s">
        <v>163</v>
      </c>
      <c r="Y167" s="224">
        <f t="shared" si="22"/>
        <v>350</v>
      </c>
      <c r="Z167" s="214">
        <v>16</v>
      </c>
      <c r="AA167" s="214">
        <v>109</v>
      </c>
      <c r="AB167" s="214">
        <v>22646</v>
      </c>
      <c r="AC167" s="213">
        <v>3.6700000000000003E-2</v>
      </c>
      <c r="AD167" s="213"/>
      <c r="AF167" s="218" t="s">
        <v>175</v>
      </c>
      <c r="AG167" s="218">
        <f>IF($B$2="YES",AJ167,260)</f>
        <v>350</v>
      </c>
      <c r="AH167" s="218">
        <f>IF($B$2="YES",AJ167,310)</f>
        <v>350</v>
      </c>
      <c r="AI167" s="218">
        <v>350</v>
      </c>
      <c r="AJ167" s="217">
        <v>350</v>
      </c>
      <c r="AL167" s="198">
        <f t="shared" si="24"/>
        <v>0</v>
      </c>
      <c r="AM167" s="198">
        <f t="shared" si="25"/>
        <v>0</v>
      </c>
      <c r="AQ167" s="198">
        <f>SUM(AL158:AN167)</f>
        <v>1</v>
      </c>
    </row>
    <row r="168" spans="19:43">
      <c r="S168" s="209"/>
      <c r="T168" s="217">
        <v>110</v>
      </c>
      <c r="U168" s="217">
        <f t="shared" si="23"/>
        <v>350.00000010000002</v>
      </c>
      <c r="V168" s="225" t="s">
        <v>317</v>
      </c>
      <c r="W168" s="225" t="s">
        <v>317</v>
      </c>
      <c r="X168" s="225" t="s">
        <v>317</v>
      </c>
      <c r="Y168" s="226">
        <f>Y167</f>
        <v>350</v>
      </c>
      <c r="Z168" s="217" t="s">
        <v>317</v>
      </c>
      <c r="AA168" s="217">
        <v>110</v>
      </c>
      <c r="AB168" s="227" t="s">
        <v>317</v>
      </c>
      <c r="AC168" s="227" t="s">
        <v>317</v>
      </c>
      <c r="AD168" s="213"/>
    </row>
    <row r="169" spans="19:43">
      <c r="S169" s="209"/>
      <c r="T169" s="200"/>
      <c r="U169" s="200"/>
      <c r="V169" s="230"/>
      <c r="W169" s="230"/>
      <c r="X169" s="230"/>
      <c r="Y169" s="200"/>
      <c r="Z169" s="200"/>
      <c r="AA169" s="200"/>
      <c r="AB169" s="200"/>
      <c r="AC169" s="200"/>
      <c r="AD169" s="213"/>
    </row>
    <row r="170" spans="19:43">
      <c r="S170" s="209"/>
      <c r="T170" s="200">
        <f>VLOOKUP(AA170,T158:AA168,1)</f>
        <v>102</v>
      </c>
      <c r="U170" s="200"/>
      <c r="V170" s="200" t="str">
        <f>VLOOKUP(Q155,U158:AB168,2)</f>
        <v>2-2-2-6</v>
      </c>
      <c r="W170" s="200" t="str">
        <f>VLOOKUP(Q155,U158:AB168,3)</f>
        <v>#2</v>
      </c>
      <c r="X170" s="200" t="str">
        <f>VLOOKUP(Q155,U158:AB168,4)</f>
        <v>#6</v>
      </c>
      <c r="Y170" s="200">
        <f>VLOOKUP(Q155,U158:AB168,5)</f>
        <v>125</v>
      </c>
      <c r="Z170" s="200">
        <f>VLOOKUP(Q155,U158:AB168,6)</f>
        <v>8</v>
      </c>
      <c r="AA170" s="200">
        <f>VLOOKUP(Q155,U158:AB168,7)</f>
        <v>102</v>
      </c>
      <c r="AB170" s="200">
        <f>VLOOKUP(Q155,U158:AB168,8)</f>
        <v>5989</v>
      </c>
      <c r="AC170" s="200">
        <f>VLOOKUP(Q155,U158:AC168,9)</f>
        <v>0.19400000000000001</v>
      </c>
      <c r="AD170" s="213"/>
    </row>
    <row r="171" spans="19:43">
      <c r="S171" s="209"/>
      <c r="T171" s="200"/>
      <c r="U171" s="200"/>
      <c r="V171" s="200"/>
      <c r="W171" s="200"/>
      <c r="X171" s="200"/>
      <c r="Y171" s="200"/>
      <c r="Z171" s="200"/>
      <c r="AA171" s="200"/>
      <c r="AB171" s="200"/>
      <c r="AC171" s="200"/>
      <c r="AD171" s="213"/>
    </row>
    <row r="172" spans="19:43">
      <c r="S172" s="209"/>
      <c r="T172" s="200"/>
      <c r="U172" s="200"/>
      <c r="V172" s="200" t="s">
        <v>353</v>
      </c>
      <c r="W172" s="200"/>
      <c r="X172" s="200"/>
      <c r="Y172" s="200"/>
      <c r="Z172" s="200"/>
      <c r="AA172" s="200" t="str">
        <f>CONCATENATE(V172,W172,X172,Y172)</f>
        <v xml:space="preserve"> MC CABLE</v>
      </c>
      <c r="AB172" s="200"/>
      <c r="AC172" s="200"/>
      <c r="AD172" s="213"/>
    </row>
    <row r="173" spans="19:43">
      <c r="S173" s="209"/>
      <c r="T173" s="200"/>
      <c r="U173" s="200"/>
      <c r="V173" s="200" t="s">
        <v>319</v>
      </c>
      <c r="W173" s="200" t="str">
        <f>W170</f>
        <v>#2</v>
      </c>
      <c r="X173" s="200" t="s">
        <v>327</v>
      </c>
      <c r="Y173" s="200" t="s">
        <v>66</v>
      </c>
      <c r="Z173" s="200" t="s">
        <v>66</v>
      </c>
      <c r="AA173" s="200" t="str">
        <f>CONCATENATE(V173,W173,X173,Y173,Z173)</f>
        <v xml:space="preserve"> 3-#2 CU  </v>
      </c>
      <c r="AB173" s="200"/>
      <c r="AC173" s="200"/>
      <c r="AD173" s="213"/>
    </row>
    <row r="174" spans="19:43">
      <c r="S174" s="209"/>
      <c r="T174" s="200"/>
      <c r="U174" s="200"/>
      <c r="V174" s="200" t="s">
        <v>322</v>
      </c>
      <c r="W174" s="200" t="str">
        <f>X170</f>
        <v>#6</v>
      </c>
      <c r="X174" s="200" t="s">
        <v>247</v>
      </c>
      <c r="Y174" s="200"/>
      <c r="Z174" s="200"/>
      <c r="AA174" s="200" t="str">
        <f>CONCATENATE(V174,W174,X174,Y174,Z174)</f>
        <v xml:space="preserve"> 1-#6 GND</v>
      </c>
      <c r="AB174" s="200"/>
      <c r="AC174" s="200"/>
      <c r="AD174" s="213"/>
    </row>
    <row r="175" spans="19:43">
      <c r="S175" s="233"/>
      <c r="T175" s="234"/>
      <c r="U175" s="234"/>
      <c r="V175" s="234"/>
      <c r="W175" s="234"/>
      <c r="X175" s="234"/>
      <c r="Y175" s="234"/>
      <c r="Z175" s="234"/>
      <c r="AA175" s="234"/>
      <c r="AB175" s="234"/>
      <c r="AC175" s="234"/>
      <c r="AD175" s="235"/>
    </row>
    <row r="177" spans="16:40">
      <c r="AJ177" s="207"/>
    </row>
    <row r="180" spans="16:40">
      <c r="S180" s="200" t="s">
        <v>372</v>
      </c>
      <c r="T180" s="200"/>
      <c r="U180" s="200"/>
      <c r="V180" s="200"/>
      <c r="W180" s="200"/>
      <c r="X180" s="200"/>
      <c r="Y180" s="200"/>
      <c r="Z180" s="200"/>
      <c r="AA180" s="200"/>
      <c r="AB180" s="200"/>
      <c r="AC180" s="200"/>
    </row>
    <row r="181" spans="16:40">
      <c r="S181" s="203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5"/>
      <c r="AF181" s="206" t="s">
        <v>154</v>
      </c>
      <c r="AG181" s="207"/>
      <c r="AH181" s="207"/>
      <c r="AI181" s="207"/>
    </row>
    <row r="182" spans="16:40">
      <c r="P182" s="198" t="s">
        <v>4</v>
      </c>
      <c r="Q182" s="198">
        <f>B6</f>
        <v>114</v>
      </c>
      <c r="S182" s="209"/>
      <c r="T182" s="210" t="s">
        <v>298</v>
      </c>
      <c r="U182" s="210" t="s">
        <v>122</v>
      </c>
      <c r="V182" s="211" t="s">
        <v>150</v>
      </c>
      <c r="W182" s="211" t="s">
        <v>150</v>
      </c>
      <c r="X182" s="211" t="s">
        <v>25</v>
      </c>
      <c r="Y182" s="212" t="str">
        <f>IF($Q$183=60,AG182,IF($Q$183=75,AH182,IF($Q$183=90,AI182)))</f>
        <v>75 C</v>
      </c>
      <c r="Z182" s="211" t="s">
        <v>150</v>
      </c>
      <c r="AA182" s="210" t="s">
        <v>298</v>
      </c>
      <c r="AB182" s="211" t="s">
        <v>294</v>
      </c>
      <c r="AC182" s="211" t="s">
        <v>221</v>
      </c>
      <c r="AD182" s="213"/>
      <c r="AF182" s="211" t="s">
        <v>150</v>
      </c>
      <c r="AG182" s="211" t="s">
        <v>151</v>
      </c>
      <c r="AH182" s="211" t="s">
        <v>152</v>
      </c>
      <c r="AI182" s="211" t="s">
        <v>153</v>
      </c>
      <c r="AJ182" s="212" t="s">
        <v>538</v>
      </c>
    </row>
    <row r="183" spans="16:40">
      <c r="P183" s="198" t="s">
        <v>329</v>
      </c>
      <c r="Q183" s="198">
        <f>B7</f>
        <v>75</v>
      </c>
      <c r="S183" s="209"/>
      <c r="T183" s="214" t="s">
        <v>300</v>
      </c>
      <c r="U183" s="214"/>
      <c r="V183" s="215" t="s">
        <v>133</v>
      </c>
      <c r="W183" s="215" t="s">
        <v>133</v>
      </c>
      <c r="X183" s="215" t="s">
        <v>133</v>
      </c>
      <c r="Y183" s="215" t="s">
        <v>4</v>
      </c>
      <c r="Z183" s="215" t="s">
        <v>133</v>
      </c>
      <c r="AA183" s="214" t="s">
        <v>300</v>
      </c>
      <c r="AB183" s="215" t="s">
        <v>296</v>
      </c>
      <c r="AC183" s="215" t="s">
        <v>224</v>
      </c>
      <c r="AD183" s="213"/>
      <c r="AF183" s="215" t="s">
        <v>133</v>
      </c>
      <c r="AG183" s="215" t="s">
        <v>4</v>
      </c>
      <c r="AH183" s="215" t="s">
        <v>4</v>
      </c>
      <c r="AI183" s="215" t="s">
        <v>4</v>
      </c>
      <c r="AJ183" s="224" t="s">
        <v>537</v>
      </c>
    </row>
    <row r="184" spans="16:40">
      <c r="S184" s="209"/>
      <c r="T184" s="217"/>
      <c r="U184" s="217"/>
      <c r="V184" s="215" t="s">
        <v>156</v>
      </c>
      <c r="W184" s="215"/>
      <c r="X184" s="215"/>
      <c r="Y184" s="215" t="s">
        <v>160</v>
      </c>
      <c r="Z184" s="215" t="s">
        <v>30</v>
      </c>
      <c r="AA184" s="217"/>
      <c r="AB184" s="218"/>
      <c r="AC184" s="218" t="s">
        <v>159</v>
      </c>
      <c r="AD184" s="213"/>
      <c r="AF184" s="215" t="s">
        <v>156</v>
      </c>
      <c r="AG184" s="215" t="s">
        <v>159</v>
      </c>
      <c r="AH184" s="215" t="s">
        <v>159</v>
      </c>
      <c r="AI184" s="215" t="s">
        <v>159</v>
      </c>
      <c r="AJ184" s="217"/>
    </row>
    <row r="185" spans="16:40">
      <c r="S185" s="209"/>
      <c r="T185" s="210">
        <v>100</v>
      </c>
      <c r="U185" s="210">
        <v>0</v>
      </c>
      <c r="V185" s="220" t="s">
        <v>373</v>
      </c>
      <c r="W185" s="220" t="s">
        <v>161</v>
      </c>
      <c r="X185" s="220" t="s">
        <v>217</v>
      </c>
      <c r="Y185" s="212">
        <f t="shared" ref="Y185:Y194" si="26">IF($Q$183=60,AG185,IF($Q$183=75,AH185,IF($Q$183=90,AI185)))</f>
        <v>100</v>
      </c>
      <c r="Z185" s="210">
        <v>6</v>
      </c>
      <c r="AA185" s="210">
        <v>100</v>
      </c>
      <c r="AB185" s="210">
        <v>3830</v>
      </c>
      <c r="AC185" s="213">
        <v>0.308</v>
      </c>
      <c r="AD185" s="213"/>
      <c r="AF185" s="215" t="s">
        <v>161</v>
      </c>
      <c r="AG185" s="215">
        <f>IF($B$2="YES",AJ185,70)</f>
        <v>100</v>
      </c>
      <c r="AH185" s="215">
        <f>IF($B$2="YES",AJ185,85)</f>
        <v>100</v>
      </c>
      <c r="AI185" s="215">
        <f>IF($B$2="YES",AJ185,95)</f>
        <v>100</v>
      </c>
      <c r="AJ185" s="210">
        <v>100</v>
      </c>
      <c r="AL185" s="198">
        <f>IF(Q$183=60,IF(AND($B$2="YES",$T$197=$T185),1,0),0)</f>
        <v>0</v>
      </c>
      <c r="AM185" s="198">
        <f>IF(Q$183=75,IF(AND($B$2="YES",$T$197=$T185),1,0),0)</f>
        <v>0</v>
      </c>
      <c r="AN185" s="198">
        <f>IF(Q$183=90,IF(AND($B$2="YES",$T$197=$T185),1,0),0)</f>
        <v>0</v>
      </c>
    </row>
    <row r="186" spans="16:40">
      <c r="S186" s="209"/>
      <c r="T186" s="214">
        <v>101</v>
      </c>
      <c r="U186" s="214">
        <f t="shared" ref="U186:U195" si="27">Y185+0.0000001</f>
        <v>100.00000009999999</v>
      </c>
      <c r="V186" s="223" t="s">
        <v>374</v>
      </c>
      <c r="W186" s="223" t="s">
        <v>163</v>
      </c>
      <c r="X186" s="223" t="s">
        <v>158</v>
      </c>
      <c r="Y186" s="224">
        <f t="shared" si="26"/>
        <v>110</v>
      </c>
      <c r="Z186" s="214">
        <v>7</v>
      </c>
      <c r="AA186" s="214">
        <v>101</v>
      </c>
      <c r="AB186" s="214">
        <v>4820</v>
      </c>
      <c r="AC186" s="213">
        <v>0.245</v>
      </c>
      <c r="AD186" s="213"/>
      <c r="AF186" s="215" t="s">
        <v>163</v>
      </c>
      <c r="AG186" s="215">
        <f>IF($B$2="YES",AJ186,85)</f>
        <v>110</v>
      </c>
      <c r="AH186" s="215">
        <f>IF($B$2="YES",AJ186,100)</f>
        <v>110</v>
      </c>
      <c r="AI186" s="215">
        <v>110</v>
      </c>
      <c r="AJ186" s="214">
        <v>110</v>
      </c>
      <c r="AL186" s="198">
        <f t="shared" ref="AL186:AL194" si="28">IF(Q$183=60,IF(AND($B$2="YES",$T$197=$T186),1,0),0)</f>
        <v>0</v>
      </c>
      <c r="AM186" s="198">
        <f t="shared" ref="AM186:AM194" si="29">IF(Q$183=75,IF(AND($B$2="YES",$T$197=$T186),1,0),0)</f>
        <v>0</v>
      </c>
    </row>
    <row r="187" spans="16:40">
      <c r="S187" s="209"/>
      <c r="T187" s="214">
        <v>102</v>
      </c>
      <c r="U187" s="214">
        <f t="shared" si="27"/>
        <v>110.00000009999999</v>
      </c>
      <c r="V187" s="223" t="s">
        <v>375</v>
      </c>
      <c r="W187" s="223" t="s">
        <v>162</v>
      </c>
      <c r="X187" s="223" t="s">
        <v>158</v>
      </c>
      <c r="Y187" s="224">
        <f t="shared" si="26"/>
        <v>125</v>
      </c>
      <c r="Z187" s="214">
        <v>8</v>
      </c>
      <c r="AA187" s="214">
        <v>102</v>
      </c>
      <c r="AB187" s="214">
        <v>5989</v>
      </c>
      <c r="AC187" s="213">
        <v>0.19400000000000001</v>
      </c>
      <c r="AD187" s="213"/>
      <c r="AF187" s="215" t="s">
        <v>162</v>
      </c>
      <c r="AG187" s="215">
        <f>IF($B$2="YES",AJ187,95)</f>
        <v>125</v>
      </c>
      <c r="AH187" s="215">
        <f>IF($B$2="YES",AJ187,115)</f>
        <v>125</v>
      </c>
      <c r="AI187" s="215">
        <v>130</v>
      </c>
      <c r="AJ187" s="214">
        <v>125</v>
      </c>
      <c r="AL187" s="198">
        <f t="shared" si="28"/>
        <v>0</v>
      </c>
      <c r="AM187" s="198">
        <f t="shared" si="29"/>
        <v>1</v>
      </c>
    </row>
    <row r="188" spans="16:40">
      <c r="S188" s="209"/>
      <c r="T188" s="214">
        <v>103</v>
      </c>
      <c r="U188" s="214">
        <f t="shared" si="27"/>
        <v>125.00000009999999</v>
      </c>
      <c r="V188" s="223" t="s">
        <v>376</v>
      </c>
      <c r="W188" s="223" t="s">
        <v>164</v>
      </c>
      <c r="X188" s="223" t="s">
        <v>158</v>
      </c>
      <c r="Y188" s="224">
        <f t="shared" si="26"/>
        <v>150</v>
      </c>
      <c r="Z188" s="214">
        <v>9</v>
      </c>
      <c r="AA188" s="214">
        <v>103</v>
      </c>
      <c r="AB188" s="214">
        <v>7454</v>
      </c>
      <c r="AC188" s="213">
        <v>0.154</v>
      </c>
      <c r="AD188" s="213"/>
      <c r="AF188" s="215" t="s">
        <v>164</v>
      </c>
      <c r="AG188" s="215">
        <f>IF($B$2="YES",AJ188,110)</f>
        <v>150</v>
      </c>
      <c r="AH188" s="215">
        <f>IF($B$2="YES",AJ188,130)</f>
        <v>150</v>
      </c>
      <c r="AI188" s="215">
        <v>150</v>
      </c>
      <c r="AJ188" s="214">
        <v>150</v>
      </c>
      <c r="AL188" s="198">
        <f t="shared" si="28"/>
        <v>0</v>
      </c>
      <c r="AM188" s="198">
        <f t="shared" si="29"/>
        <v>0</v>
      </c>
    </row>
    <row r="189" spans="16:40">
      <c r="S189" s="209"/>
      <c r="T189" s="214">
        <v>104</v>
      </c>
      <c r="U189" s="214">
        <f t="shared" si="27"/>
        <v>150.00000009999999</v>
      </c>
      <c r="V189" s="223" t="s">
        <v>377</v>
      </c>
      <c r="W189" s="223" t="s">
        <v>165</v>
      </c>
      <c r="X189" s="223" t="s">
        <v>158</v>
      </c>
      <c r="Y189" s="224">
        <f t="shared" si="26"/>
        <v>175</v>
      </c>
      <c r="Z189" s="214">
        <v>10</v>
      </c>
      <c r="AA189" s="214">
        <v>104</v>
      </c>
      <c r="AB189" s="214">
        <v>9210</v>
      </c>
      <c r="AC189" s="213">
        <v>0.122</v>
      </c>
      <c r="AD189" s="213"/>
      <c r="AF189" s="215" t="s">
        <v>165</v>
      </c>
      <c r="AG189" s="215">
        <f>IF($B$2="YES",AJ189,125)</f>
        <v>175</v>
      </c>
      <c r="AH189" s="215">
        <f>IF($B$2="YES",AJ189,150)</f>
        <v>175</v>
      </c>
      <c r="AI189" s="215">
        <f>IF($B$2="YES",AJ189,170)</f>
        <v>175</v>
      </c>
      <c r="AJ189" s="214">
        <v>175</v>
      </c>
      <c r="AL189" s="198">
        <f t="shared" si="28"/>
        <v>0</v>
      </c>
      <c r="AM189" s="198">
        <f t="shared" si="29"/>
        <v>0</v>
      </c>
      <c r="AN189" s="198">
        <f>IF(Q$183=90,IF(AND($B$2="YES",$T$197=$T189),1,0),0)</f>
        <v>0</v>
      </c>
    </row>
    <row r="190" spans="16:40">
      <c r="S190" s="209"/>
      <c r="T190" s="214">
        <v>105</v>
      </c>
      <c r="U190" s="214">
        <f t="shared" si="27"/>
        <v>175.00000009999999</v>
      </c>
      <c r="V190" s="223" t="s">
        <v>378</v>
      </c>
      <c r="W190" s="223" t="s">
        <v>166</v>
      </c>
      <c r="X190" s="223" t="s">
        <v>158</v>
      </c>
      <c r="Y190" s="224">
        <f t="shared" si="26"/>
        <v>200</v>
      </c>
      <c r="Z190" s="214">
        <v>11</v>
      </c>
      <c r="AA190" s="214">
        <v>105</v>
      </c>
      <c r="AB190" s="214">
        <v>11245</v>
      </c>
      <c r="AC190" s="213">
        <v>9.6699999999999994E-2</v>
      </c>
      <c r="AD190" s="213"/>
      <c r="AF190" s="215" t="s">
        <v>166</v>
      </c>
      <c r="AG190" s="215">
        <f>IF($B$2="YES",AJ190,145)</f>
        <v>200</v>
      </c>
      <c r="AH190" s="215">
        <f>IF($B$2="YES",AJ190,175)</f>
        <v>200</v>
      </c>
      <c r="AI190" s="215">
        <f>IF($B$2="YES",AJ190,195)</f>
        <v>200</v>
      </c>
      <c r="AJ190" s="214">
        <v>200</v>
      </c>
      <c r="AL190" s="198">
        <f t="shared" si="28"/>
        <v>0</v>
      </c>
      <c r="AM190" s="198">
        <f t="shared" si="29"/>
        <v>0</v>
      </c>
      <c r="AN190" s="198">
        <f>IF(Q$183=90,IF(AND($B$2="YES",$T$197=$T190),1,0),0)</f>
        <v>0</v>
      </c>
    </row>
    <row r="191" spans="16:40">
      <c r="S191" s="209"/>
      <c r="T191" s="214">
        <v>106</v>
      </c>
      <c r="U191" s="214">
        <f t="shared" si="27"/>
        <v>200.00000009999999</v>
      </c>
      <c r="V191" s="223" t="s">
        <v>358</v>
      </c>
      <c r="W191" s="223" t="s">
        <v>169</v>
      </c>
      <c r="X191" s="223" t="s">
        <v>161</v>
      </c>
      <c r="Y191" s="224">
        <f t="shared" si="26"/>
        <v>225</v>
      </c>
      <c r="Z191" s="214">
        <v>12</v>
      </c>
      <c r="AA191" s="214">
        <v>106</v>
      </c>
      <c r="AB191" s="214">
        <v>13656</v>
      </c>
      <c r="AC191" s="213">
        <v>7.6600000000000001E-2</v>
      </c>
      <c r="AD191" s="213"/>
      <c r="AF191" s="215" t="s">
        <v>169</v>
      </c>
      <c r="AG191" s="215">
        <f>IF($B$2="YES",AJ191,165)</f>
        <v>225</v>
      </c>
      <c r="AH191" s="215">
        <f>IF($B$2="YES",AJ191,200)</f>
        <v>225</v>
      </c>
      <c r="AI191" s="215">
        <v>225</v>
      </c>
      <c r="AJ191" s="214">
        <v>225</v>
      </c>
      <c r="AL191" s="198">
        <f t="shared" si="28"/>
        <v>0</v>
      </c>
      <c r="AM191" s="198">
        <f t="shared" si="29"/>
        <v>0</v>
      </c>
    </row>
    <row r="192" spans="16:40">
      <c r="S192" s="209"/>
      <c r="T192" s="214">
        <v>107</v>
      </c>
      <c r="U192" s="214">
        <f t="shared" si="27"/>
        <v>225.00000009999999</v>
      </c>
      <c r="V192" s="223" t="s">
        <v>379</v>
      </c>
      <c r="W192" s="223" t="s">
        <v>170</v>
      </c>
      <c r="X192" s="223" t="s">
        <v>161</v>
      </c>
      <c r="Y192" s="224">
        <f t="shared" si="26"/>
        <v>250</v>
      </c>
      <c r="Z192" s="214">
        <v>13</v>
      </c>
      <c r="AA192" s="214">
        <v>107</v>
      </c>
      <c r="AB192" s="214">
        <v>16392</v>
      </c>
      <c r="AC192" s="213">
        <v>6.08E-2</v>
      </c>
      <c r="AD192" s="213"/>
      <c r="AF192" s="215" t="s">
        <v>170</v>
      </c>
      <c r="AG192" s="215">
        <f>IF($B$2="YES",AJ192,195)</f>
        <v>250</v>
      </c>
      <c r="AH192" s="215">
        <f>IF($B$2="YES",AJ192,230)</f>
        <v>250</v>
      </c>
      <c r="AI192" s="215">
        <v>260</v>
      </c>
      <c r="AJ192" s="214">
        <v>250</v>
      </c>
      <c r="AL192" s="198">
        <f t="shared" si="28"/>
        <v>0</v>
      </c>
      <c r="AM192" s="198">
        <f t="shared" si="29"/>
        <v>0</v>
      </c>
    </row>
    <row r="193" spans="19:43">
      <c r="S193" s="209"/>
      <c r="T193" s="214">
        <v>108</v>
      </c>
      <c r="U193" s="214">
        <f t="shared" si="27"/>
        <v>250.00000009999999</v>
      </c>
      <c r="V193" s="223" t="s">
        <v>380</v>
      </c>
      <c r="W193" s="223" t="s">
        <v>172</v>
      </c>
      <c r="X193" s="223" t="s">
        <v>161</v>
      </c>
      <c r="Y193" s="224">
        <f t="shared" si="26"/>
        <v>300</v>
      </c>
      <c r="Z193" s="214">
        <v>14</v>
      </c>
      <c r="AA193" s="214">
        <v>108</v>
      </c>
      <c r="AB193" s="214">
        <v>18311</v>
      </c>
      <c r="AC193" s="213">
        <v>5.1499999999999997E-2</v>
      </c>
      <c r="AD193" s="213"/>
      <c r="AF193" s="215" t="s">
        <v>172</v>
      </c>
      <c r="AG193" s="215">
        <f>IF($B$2="YES",AJ193,215)</f>
        <v>300</v>
      </c>
      <c r="AH193" s="215">
        <f>IF($B$2="YES",AJ193,255)</f>
        <v>300</v>
      </c>
      <c r="AI193" s="215">
        <f>IF($B$2="YES",AJ193,290)</f>
        <v>300</v>
      </c>
      <c r="AJ193" s="214">
        <v>300</v>
      </c>
      <c r="AL193" s="198">
        <f t="shared" si="28"/>
        <v>0</v>
      </c>
      <c r="AM193" s="198">
        <f t="shared" si="29"/>
        <v>0</v>
      </c>
      <c r="AN193" s="198">
        <f>IF(Q$183=90,IF(AND($B$2="YES",$T$197=$T193),1,0),0)</f>
        <v>0</v>
      </c>
    </row>
    <row r="194" spans="19:43">
      <c r="S194" s="209"/>
      <c r="T194" s="214">
        <v>109</v>
      </c>
      <c r="U194" s="214">
        <f t="shared" si="27"/>
        <v>300.00000010000002</v>
      </c>
      <c r="V194" s="223" t="s">
        <v>381</v>
      </c>
      <c r="W194" s="223" t="s">
        <v>175</v>
      </c>
      <c r="X194" s="223" t="s">
        <v>163</v>
      </c>
      <c r="Y194" s="224">
        <f t="shared" si="26"/>
        <v>350</v>
      </c>
      <c r="Z194" s="214">
        <v>16</v>
      </c>
      <c r="AA194" s="214">
        <v>109</v>
      </c>
      <c r="AB194" s="214">
        <v>22646</v>
      </c>
      <c r="AC194" s="213">
        <v>3.6700000000000003E-2</v>
      </c>
      <c r="AD194" s="213"/>
      <c r="AF194" s="218" t="s">
        <v>175</v>
      </c>
      <c r="AG194" s="218">
        <f>IF($B$2="YES",AJ194,260)</f>
        <v>350</v>
      </c>
      <c r="AH194" s="218">
        <f>IF($B$2="YES",AJ194,310)</f>
        <v>350</v>
      </c>
      <c r="AI194" s="218">
        <v>350</v>
      </c>
      <c r="AJ194" s="217">
        <v>350</v>
      </c>
      <c r="AL194" s="198">
        <f t="shared" si="28"/>
        <v>0</v>
      </c>
      <c r="AM194" s="198">
        <f t="shared" si="29"/>
        <v>0</v>
      </c>
      <c r="AQ194" s="198">
        <f>SUM(AL185:AN194)</f>
        <v>1</v>
      </c>
    </row>
    <row r="195" spans="19:43">
      <c r="S195" s="209"/>
      <c r="T195" s="217">
        <v>110</v>
      </c>
      <c r="U195" s="217">
        <f t="shared" si="27"/>
        <v>350.00000010000002</v>
      </c>
      <c r="V195" s="225" t="s">
        <v>317</v>
      </c>
      <c r="W195" s="225" t="s">
        <v>317</v>
      </c>
      <c r="X195" s="225" t="s">
        <v>317</v>
      </c>
      <c r="Y195" s="226">
        <f>Y194</f>
        <v>350</v>
      </c>
      <c r="Z195" s="217" t="s">
        <v>317</v>
      </c>
      <c r="AA195" s="217">
        <v>110</v>
      </c>
      <c r="AB195" s="227" t="s">
        <v>317</v>
      </c>
      <c r="AC195" s="227" t="s">
        <v>317</v>
      </c>
      <c r="AD195" s="213"/>
    </row>
    <row r="196" spans="19:43">
      <c r="S196" s="209"/>
      <c r="T196" s="200"/>
      <c r="U196" s="200"/>
      <c r="V196" s="230"/>
      <c r="W196" s="230"/>
      <c r="X196" s="230"/>
      <c r="Y196" s="200"/>
      <c r="Z196" s="200"/>
      <c r="AA196" s="200"/>
      <c r="AB196" s="200"/>
      <c r="AC196" s="200"/>
      <c r="AD196" s="213"/>
    </row>
    <row r="197" spans="19:43">
      <c r="S197" s="209"/>
      <c r="T197" s="200">
        <f>VLOOKUP(AA197,T185:AA195,1)</f>
        <v>102</v>
      </c>
      <c r="U197" s="200"/>
      <c r="V197" s="200" t="str">
        <f>VLOOKUP(Q182,U185:AB195,2)</f>
        <v>2-2-2-2-6</v>
      </c>
      <c r="W197" s="200" t="str">
        <f>VLOOKUP(Q182,U185:AB195,3)</f>
        <v>#2</v>
      </c>
      <c r="X197" s="200" t="str">
        <f>VLOOKUP(Q182,U185:AB195,4)</f>
        <v>#6</v>
      </c>
      <c r="Y197" s="200">
        <f>VLOOKUP(Q182,U185:AB195,5)</f>
        <v>125</v>
      </c>
      <c r="Z197" s="200">
        <f>VLOOKUP(Q182,U185:AB195,6)</f>
        <v>8</v>
      </c>
      <c r="AA197" s="200">
        <f>VLOOKUP(Q182,U185:AB195,7)</f>
        <v>102</v>
      </c>
      <c r="AB197" s="200">
        <f>VLOOKUP(Q182,U185:AB195,8)</f>
        <v>5989</v>
      </c>
      <c r="AC197" s="200">
        <f>VLOOKUP(Q182,U185:AC195,9)</f>
        <v>0.19400000000000001</v>
      </c>
      <c r="AD197" s="213"/>
    </row>
    <row r="198" spans="19:43">
      <c r="S198" s="209"/>
      <c r="T198" s="200"/>
      <c r="U198" s="200"/>
      <c r="V198" s="200"/>
      <c r="W198" s="200"/>
      <c r="X198" s="200"/>
      <c r="Y198" s="200"/>
      <c r="Z198" s="200"/>
      <c r="AA198" s="200"/>
      <c r="AB198" s="200"/>
      <c r="AC198" s="200"/>
      <c r="AD198" s="213"/>
    </row>
    <row r="199" spans="19:43">
      <c r="S199" s="209"/>
      <c r="T199" s="200"/>
      <c r="U199" s="200"/>
      <c r="V199" s="200" t="s">
        <v>353</v>
      </c>
      <c r="W199" s="200"/>
      <c r="X199" s="200"/>
      <c r="Y199" s="200"/>
      <c r="Z199" s="200"/>
      <c r="AA199" s="200" t="str">
        <f>CONCATENATE(V199,W199,X199,Y199)</f>
        <v xml:space="preserve"> MC CABLE</v>
      </c>
      <c r="AB199" s="200"/>
      <c r="AC199" s="200"/>
      <c r="AD199" s="213"/>
    </row>
    <row r="200" spans="19:43">
      <c r="S200" s="209"/>
      <c r="T200" s="200"/>
      <c r="U200" s="200"/>
      <c r="V200" s="200" t="s">
        <v>340</v>
      </c>
      <c r="W200" s="200" t="str">
        <f>W197</f>
        <v>#2</v>
      </c>
      <c r="X200" s="200" t="s">
        <v>327</v>
      </c>
      <c r="Y200" s="200" t="s">
        <v>66</v>
      </c>
      <c r="Z200" s="200" t="s">
        <v>66</v>
      </c>
      <c r="AA200" s="200" t="str">
        <f>CONCATENATE(V200,W200,X200,Y200,Z200)</f>
        <v xml:space="preserve"> 4-#2 CU  </v>
      </c>
      <c r="AB200" s="200"/>
      <c r="AC200" s="200"/>
      <c r="AD200" s="213"/>
    </row>
    <row r="201" spans="19:43">
      <c r="S201" s="209"/>
      <c r="T201" s="200"/>
      <c r="U201" s="200"/>
      <c r="V201" s="200" t="s">
        <v>322</v>
      </c>
      <c r="W201" s="200" t="str">
        <f>X197</f>
        <v>#6</v>
      </c>
      <c r="X201" s="200" t="s">
        <v>247</v>
      </c>
      <c r="Y201" s="200"/>
      <c r="Z201" s="200"/>
      <c r="AA201" s="200" t="str">
        <f>CONCATENATE(V201,W201,X201,Y201,Z201)</f>
        <v xml:space="preserve"> 1-#6 GND</v>
      </c>
      <c r="AB201" s="200"/>
      <c r="AC201" s="200"/>
      <c r="AD201" s="213"/>
    </row>
    <row r="202" spans="19:43">
      <c r="S202" s="233"/>
      <c r="T202" s="234"/>
      <c r="U202" s="234"/>
      <c r="V202" s="234"/>
      <c r="W202" s="234"/>
      <c r="X202" s="234"/>
      <c r="Y202" s="234"/>
      <c r="Z202" s="234"/>
      <c r="AA202" s="234"/>
      <c r="AB202" s="234"/>
      <c r="AC202" s="234"/>
      <c r="AD202" s="235"/>
    </row>
  </sheetData>
  <phoneticPr fontId="7" type="noConversion"/>
  <conditionalFormatting sqref="T9:AC17 Y6 Y29 Y54 Y82 X99 Y102 Y129 Y155 Y182">
    <cfRule type="expression" dxfId="9" priority="1" stopIfTrue="1">
      <formula>IF($T$19=$T6,TRUE,FALSE)</formula>
    </cfRule>
  </conditionalFormatting>
  <conditionalFormatting sqref="T32:AC41">
    <cfRule type="expression" dxfId="8" priority="2" stopIfTrue="1">
      <formula>IF($T$43=$T32,TRUE,FALSE)</formula>
    </cfRule>
  </conditionalFormatting>
  <conditionalFormatting sqref="T57:AC67">
    <cfRule type="expression" dxfId="7" priority="3" stopIfTrue="1">
      <formula>IF($T$69=$T57,TRUE,FALSE)</formula>
    </cfRule>
  </conditionalFormatting>
  <conditionalFormatting sqref="T85:AC88">
    <cfRule type="expression" dxfId="6" priority="4" stopIfTrue="1">
      <formula>IF($T$90=$T85,TRUE,FALSE)</formula>
    </cfRule>
  </conditionalFormatting>
  <conditionalFormatting sqref="T105:AC115">
    <cfRule type="expression" dxfId="5" priority="5" stopIfTrue="1">
      <formula>IF($T$117=$T105,TRUE,FALSE)</formula>
    </cfRule>
  </conditionalFormatting>
  <conditionalFormatting sqref="T132:AC142">
    <cfRule type="expression" dxfId="4" priority="6" stopIfTrue="1">
      <formula>IF($T$144=$T132,TRUE,FALSE)</formula>
    </cfRule>
  </conditionalFormatting>
  <conditionalFormatting sqref="T158:AC168">
    <cfRule type="expression" dxfId="3" priority="7" stopIfTrue="1">
      <formula>IF($T$170=$T158,TRUE,FALSE)</formula>
    </cfRule>
  </conditionalFormatting>
  <conditionalFormatting sqref="T185:AC195">
    <cfRule type="expression" dxfId="2" priority="8" stopIfTrue="1">
      <formula>IF($T$197=$T185,TRUE,FALSE)</formula>
    </cfRule>
  </conditionalFormatting>
  <conditionalFormatting sqref="C6:M13">
    <cfRule type="expression" dxfId="1" priority="9" stopIfTrue="1">
      <formula>IF($C6=1,TRUE,FALSE)</formula>
    </cfRule>
  </conditionalFormatting>
  <conditionalFormatting sqref="AG11:AH16 AG33:AH40 AI33 AG59:AH66 AG107:AH114 AG134:AH141 AG158:AH167 AI158 AI162:AI163 AI166 AG185:AH194 AI185 AI189:AI190 AI193 AI37:AI38">
    <cfRule type="expression" dxfId="0" priority="10" stopIfTrue="1">
      <formula>IF($B$2="YES",TRUE,FALSE)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C1:FQ23"/>
  <sheetViews>
    <sheetView workbookViewId="0">
      <selection activeCell="A8" sqref="A8"/>
    </sheetView>
  </sheetViews>
  <sheetFormatPr defaultRowHeight="11.25"/>
  <cols>
    <col min="1" max="5" width="9.140625" style="1"/>
    <col min="6" max="6" width="12.42578125" style="1" customWidth="1"/>
    <col min="7" max="25" width="9.140625" style="1"/>
    <col min="26" max="31" width="9.140625" style="38"/>
    <col min="32" max="16384" width="9.140625" style="1"/>
  </cols>
  <sheetData>
    <row r="1" spans="3:173">
      <c r="C1" s="1" t="s">
        <v>581</v>
      </c>
      <c r="D1" s="1" t="s">
        <v>73</v>
      </c>
      <c r="E1" s="1" t="s">
        <v>73</v>
      </c>
      <c r="F1" s="1" t="s">
        <v>384</v>
      </c>
      <c r="G1" s="1" t="s">
        <v>441</v>
      </c>
      <c r="H1" s="1" t="s">
        <v>284</v>
      </c>
      <c r="I1" s="1" t="s">
        <v>125</v>
      </c>
      <c r="J1" s="1" t="s">
        <v>447</v>
      </c>
      <c r="K1" s="1" t="s">
        <v>448</v>
      </c>
      <c r="L1" s="1" t="s">
        <v>449</v>
      </c>
      <c r="M1" s="1" t="s">
        <v>450</v>
      </c>
      <c r="N1" s="1" t="s">
        <v>244</v>
      </c>
      <c r="P1" s="1" t="s">
        <v>470</v>
      </c>
      <c r="Q1" s="1" t="s">
        <v>472</v>
      </c>
      <c r="R1" s="1" t="s">
        <v>474</v>
      </c>
      <c r="S1" s="1" t="s">
        <v>30</v>
      </c>
      <c r="T1" s="1" t="s">
        <v>55</v>
      </c>
      <c r="U1" s="1" t="s">
        <v>478</v>
      </c>
      <c r="V1" s="1" t="s">
        <v>86</v>
      </c>
      <c r="W1" s="1" t="s">
        <v>475</v>
      </c>
      <c r="X1" s="1" t="s">
        <v>475</v>
      </c>
      <c r="Z1" s="38" t="s">
        <v>479</v>
      </c>
      <c r="AA1" s="38" t="s">
        <v>479</v>
      </c>
      <c r="AB1" s="38" t="s">
        <v>479</v>
      </c>
      <c r="AC1" s="38" t="s">
        <v>479</v>
      </c>
      <c r="AD1" s="38" t="s">
        <v>479</v>
      </c>
      <c r="AE1" s="38" t="s">
        <v>479</v>
      </c>
      <c r="AG1" s="1" t="s">
        <v>480</v>
      </c>
      <c r="AH1" s="1" t="s">
        <v>483</v>
      </c>
      <c r="AI1" s="1" t="s">
        <v>484</v>
      </c>
      <c r="AJ1" s="1" t="s">
        <v>483</v>
      </c>
      <c r="AK1" s="1" t="s">
        <v>484</v>
      </c>
    </row>
    <row r="2" spans="3:173">
      <c r="D2" s="1" t="s">
        <v>383</v>
      </c>
      <c r="E2" s="1" t="s">
        <v>77</v>
      </c>
      <c r="F2" s="1" t="s">
        <v>133</v>
      </c>
      <c r="G2" s="1" t="s">
        <v>228</v>
      </c>
      <c r="I2" s="1" t="s">
        <v>442</v>
      </c>
      <c r="P2" s="1" t="s">
        <v>471</v>
      </c>
      <c r="Q2" s="1" t="s">
        <v>473</v>
      </c>
      <c r="R2" s="1" t="s">
        <v>473</v>
      </c>
      <c r="S2" s="1" t="s">
        <v>34</v>
      </c>
      <c r="T2" s="1" t="s">
        <v>14</v>
      </c>
      <c r="U2" s="1" t="s">
        <v>34</v>
      </c>
      <c r="V2" s="1" t="s">
        <v>14</v>
      </c>
      <c r="W2" s="1" t="s">
        <v>476</v>
      </c>
      <c r="X2" s="1" t="s">
        <v>476</v>
      </c>
      <c r="Z2" s="38">
        <v>1</v>
      </c>
      <c r="AA2" s="38">
        <v>2</v>
      </c>
      <c r="AB2" s="38">
        <v>3</v>
      </c>
      <c r="AC2" s="38">
        <v>4</v>
      </c>
      <c r="AD2" s="38">
        <v>5</v>
      </c>
      <c r="AE2" s="38">
        <v>6</v>
      </c>
      <c r="AG2" s="1" t="s">
        <v>481</v>
      </c>
      <c r="AH2" s="1" t="s">
        <v>287</v>
      </c>
      <c r="AI2" s="1" t="s">
        <v>287</v>
      </c>
      <c r="AJ2" s="1" t="s">
        <v>482</v>
      </c>
      <c r="AK2" s="1" t="s">
        <v>482</v>
      </c>
    </row>
    <row r="3" spans="3:173">
      <c r="D3" s="1" t="s">
        <v>66</v>
      </c>
      <c r="G3" s="1" t="s">
        <v>66</v>
      </c>
      <c r="N3" s="1" t="s">
        <v>66</v>
      </c>
      <c r="S3" s="1" t="s">
        <v>477</v>
      </c>
      <c r="U3" s="1" t="s">
        <v>58</v>
      </c>
      <c r="W3" s="1" t="s">
        <v>30</v>
      </c>
      <c r="X3" s="1" t="s">
        <v>14</v>
      </c>
    </row>
    <row r="4" spans="3:173">
      <c r="C4" s="287">
        <v>0</v>
      </c>
      <c r="D4" s="288" t="s">
        <v>573</v>
      </c>
      <c r="E4" s="287">
        <v>1</v>
      </c>
      <c r="F4" s="240" t="s">
        <v>598</v>
      </c>
      <c r="G4" s="42">
        <v>6580.2879999999996</v>
      </c>
      <c r="H4" s="287" t="s">
        <v>599</v>
      </c>
      <c r="I4" s="240" t="s">
        <v>600</v>
      </c>
      <c r="J4" s="286" t="s">
        <v>601</v>
      </c>
      <c r="K4" s="240" t="s">
        <v>602</v>
      </c>
      <c r="L4" s="240" t="s">
        <v>66</v>
      </c>
      <c r="M4" s="240" t="s">
        <v>66</v>
      </c>
      <c r="N4" s="1" t="s">
        <v>603</v>
      </c>
      <c r="P4" s="387">
        <v>600</v>
      </c>
      <c r="Q4" s="387">
        <v>0</v>
      </c>
      <c r="R4" s="387">
        <v>1</v>
      </c>
      <c r="S4" s="387">
        <v>0</v>
      </c>
      <c r="T4" s="65">
        <v>0</v>
      </c>
      <c r="U4" s="387">
        <v>0</v>
      </c>
      <c r="V4" s="65">
        <v>0</v>
      </c>
      <c r="W4" s="387">
        <v>0</v>
      </c>
      <c r="X4" s="65">
        <v>0</v>
      </c>
      <c r="Y4" s="65"/>
      <c r="Z4" s="379">
        <v>4</v>
      </c>
      <c r="AA4" s="379">
        <v>0</v>
      </c>
      <c r="AB4" s="379">
        <v>0</v>
      </c>
      <c r="AC4" s="379">
        <v>0</v>
      </c>
      <c r="AD4" s="379">
        <v>0</v>
      </c>
      <c r="AE4" s="379">
        <v>0</v>
      </c>
      <c r="AF4" s="65"/>
      <c r="AG4" s="65">
        <v>4000</v>
      </c>
      <c r="AH4" s="65">
        <v>0</v>
      </c>
      <c r="AI4" s="65">
        <v>0</v>
      </c>
      <c r="AJ4" s="65">
        <v>0</v>
      </c>
      <c r="AK4" s="65">
        <v>0</v>
      </c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</row>
    <row r="5" spans="3:173">
      <c r="D5" s="240" t="s">
        <v>604</v>
      </c>
      <c r="G5" s="1">
        <v>6.6</v>
      </c>
      <c r="N5" s="240" t="s">
        <v>605</v>
      </c>
      <c r="P5" s="65"/>
      <c r="Q5" s="65"/>
      <c r="R5" s="65"/>
      <c r="S5" s="65"/>
      <c r="T5" s="65"/>
      <c r="U5" s="65"/>
      <c r="V5" s="65"/>
      <c r="W5" s="65"/>
      <c r="X5" s="65"/>
      <c r="Y5" s="65"/>
      <c r="Z5" s="379"/>
      <c r="AA5" s="379"/>
      <c r="AB5" s="379"/>
      <c r="AC5" s="379"/>
      <c r="AD5" s="379"/>
      <c r="AE5" s="379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</row>
    <row r="6" spans="3:173">
      <c r="G6" s="38" t="s">
        <v>444</v>
      </c>
      <c r="P6" s="65"/>
      <c r="Q6" s="65"/>
      <c r="R6" s="65"/>
      <c r="S6" s="65"/>
      <c r="T6" s="65"/>
      <c r="U6" s="65"/>
      <c r="V6" s="65"/>
      <c r="W6" s="65"/>
      <c r="X6" s="65"/>
      <c r="Y6" s="65"/>
      <c r="Z6" s="379"/>
      <c r="AA6" s="379"/>
      <c r="AB6" s="379"/>
      <c r="AC6" s="379"/>
      <c r="AD6" s="379"/>
      <c r="AE6" s="379"/>
      <c r="AF6" s="65"/>
      <c r="AG6" s="65"/>
      <c r="AH6" s="65"/>
      <c r="AI6" s="65">
        <v>0</v>
      </c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</row>
    <row r="7" spans="3:173">
      <c r="G7" s="240" t="s">
        <v>606</v>
      </c>
      <c r="P7" s="65"/>
      <c r="Q7" s="65"/>
      <c r="R7" s="65"/>
      <c r="S7" s="65"/>
      <c r="T7" s="65"/>
      <c r="U7" s="65"/>
      <c r="V7" s="65"/>
      <c r="W7" s="65"/>
      <c r="X7" s="65"/>
      <c r="Y7" s="65"/>
      <c r="Z7" s="379"/>
      <c r="AA7" s="379"/>
      <c r="AB7" s="379"/>
      <c r="AC7" s="379"/>
      <c r="AD7" s="379"/>
      <c r="AE7" s="379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</row>
    <row r="8" spans="3:173">
      <c r="P8" s="65"/>
      <c r="Q8" s="65"/>
      <c r="R8" s="65"/>
      <c r="S8" s="65"/>
      <c r="T8" s="65"/>
      <c r="U8" s="65"/>
      <c r="V8" s="65"/>
      <c r="W8" s="65"/>
      <c r="X8" s="65"/>
      <c r="Y8" s="65"/>
      <c r="Z8" s="379"/>
      <c r="AA8" s="379"/>
      <c r="AB8" s="379"/>
      <c r="AC8" s="379"/>
      <c r="AD8" s="379"/>
      <c r="AE8" s="379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</row>
    <row r="9" spans="3:173">
      <c r="P9" s="65"/>
      <c r="Q9" s="65"/>
      <c r="R9" s="65"/>
      <c r="S9" s="65"/>
      <c r="T9" s="65"/>
      <c r="U9" s="65"/>
      <c r="V9" s="65"/>
      <c r="W9" s="65"/>
      <c r="X9" s="65"/>
      <c r="Y9" s="65"/>
      <c r="Z9" s="379"/>
      <c r="AA9" s="379"/>
      <c r="AB9" s="379"/>
      <c r="AC9" s="379"/>
      <c r="AD9" s="379"/>
      <c r="AE9" s="379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</row>
    <row r="10" spans="3:173"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379"/>
      <c r="AA10" s="379"/>
      <c r="AB10" s="379"/>
      <c r="AC10" s="379"/>
      <c r="AD10" s="379"/>
      <c r="AE10" s="379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</row>
    <row r="14" spans="3:173">
      <c r="D14" s="1" t="s">
        <v>574</v>
      </c>
      <c r="F14" s="1" t="s">
        <v>579</v>
      </c>
      <c r="G14" s="1" t="s">
        <v>580</v>
      </c>
    </row>
    <row r="17" spans="4:7">
      <c r="D17" s="1" t="s">
        <v>575</v>
      </c>
      <c r="F17" s="388">
        <v>240</v>
      </c>
      <c r="G17" s="240">
        <v>240</v>
      </c>
    </row>
    <row r="18" spans="4:7">
      <c r="D18" s="1" t="s">
        <v>576</v>
      </c>
      <c r="F18" s="388">
        <v>120</v>
      </c>
      <c r="G18" s="240">
        <v>120</v>
      </c>
    </row>
    <row r="19" spans="4:7">
      <c r="D19" s="1" t="s">
        <v>77</v>
      </c>
      <c r="F19" s="388">
        <v>1</v>
      </c>
      <c r="G19" s="240">
        <v>1</v>
      </c>
    </row>
    <row r="20" spans="4:7">
      <c r="D20" s="1" t="s">
        <v>524</v>
      </c>
      <c r="F20" s="388">
        <v>15818</v>
      </c>
      <c r="G20" s="240">
        <v>15818</v>
      </c>
    </row>
    <row r="21" spans="4:7">
      <c r="D21" s="1" t="s">
        <v>577</v>
      </c>
      <c r="F21" s="388" t="s">
        <v>287</v>
      </c>
      <c r="G21" s="240" t="s">
        <v>287</v>
      </c>
    </row>
    <row r="22" spans="4:7">
      <c r="D22" s="1" t="s">
        <v>578</v>
      </c>
      <c r="F22" s="388" t="s">
        <v>287</v>
      </c>
      <c r="G22" s="240" t="s">
        <v>287</v>
      </c>
    </row>
    <row r="23" spans="4:7">
      <c r="D23" s="1" t="s">
        <v>544</v>
      </c>
      <c r="F23" s="389">
        <v>2008</v>
      </c>
      <c r="G23" s="240">
        <v>2008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IA573"/>
  <sheetViews>
    <sheetView showGridLines="0" showRowColHeaders="0" showOutlineSymbols="0" workbookViewId="0"/>
  </sheetViews>
  <sheetFormatPr defaultColWidth="0" defaultRowHeight="11.25" zeroHeight="1"/>
  <cols>
    <col min="1" max="1" width="2.7109375" style="51" customWidth="1"/>
    <col min="2" max="2" width="14.140625" style="340" customWidth="1"/>
    <col min="3" max="3" width="27.7109375" style="340" customWidth="1"/>
    <col min="4" max="4" width="5" style="340" customWidth="1"/>
    <col min="5" max="5" width="10.7109375" style="340" customWidth="1"/>
    <col min="6" max="6" width="3.42578125" style="340" customWidth="1"/>
    <col min="7" max="7" width="11.85546875" style="340" customWidth="1"/>
    <col min="8" max="8" width="2.7109375" style="340" customWidth="1"/>
    <col min="9" max="10" width="3.7109375" style="340" customWidth="1"/>
    <col min="11" max="11" width="2.7109375" style="340" customWidth="1"/>
    <col min="12" max="12" width="16" style="340" customWidth="1"/>
    <col min="13" max="13" width="10.42578125" style="340" customWidth="1"/>
    <col min="14" max="14" width="7.85546875" style="340" customWidth="1"/>
    <col min="15" max="37" width="10.7109375" style="51" hidden="1" customWidth="1"/>
    <col min="38" max="42" width="10.7109375" style="322" hidden="1" customWidth="1"/>
    <col min="43" max="235" width="10.7109375" style="51" hidden="1" customWidth="1"/>
    <col min="236" max="16384" width="0" style="51" hidden="1"/>
  </cols>
  <sheetData>
    <row r="1" spans="2:72">
      <c r="E1" s="342"/>
      <c r="P1" s="49"/>
      <c r="R1" s="51" t="s">
        <v>544</v>
      </c>
      <c r="S1" s="51">
        <f>Input!E7</f>
        <v>2008</v>
      </c>
      <c r="AD1" s="51" t="s">
        <v>291</v>
      </c>
    </row>
    <row r="2" spans="2:72">
      <c r="B2" s="396" t="str">
        <f>IF($S$2="STANDARD",'Std Calcs'!B2,'Opt Calcs'!B2)</f>
        <v>SINGLE FAMILY SERVICE LOAD CALCULATIONS</v>
      </c>
      <c r="F2" s="397"/>
      <c r="G2" s="398" t="str">
        <f>IF($S$2="STANDARD",'Std Calcs'!G2,'Opt Calcs'!G2)</f>
        <v>PROJECT NAME</v>
      </c>
      <c r="H2" s="398"/>
      <c r="I2" s="398"/>
      <c r="J2" s="398"/>
      <c r="K2" s="398"/>
      <c r="L2" s="340" t="str">
        <f>IF(ISBLANK(Input!E4)=TRUE,"NO ENTRY",Input!E4)</f>
        <v>SAMPLE</v>
      </c>
      <c r="P2" s="49">
        <f>Input!O121+P3</f>
        <v>0</v>
      </c>
      <c r="R2" s="51" t="s">
        <v>571</v>
      </c>
      <c r="S2" s="51" t="str">
        <f>Input!E8</f>
        <v>STANDARD</v>
      </c>
      <c r="U2" s="51" t="s">
        <v>491</v>
      </c>
      <c r="AB2" s="326" t="s">
        <v>79</v>
      </c>
      <c r="AC2" s="327"/>
      <c r="AD2" s="327"/>
      <c r="AE2" s="327"/>
      <c r="AF2" s="327"/>
      <c r="AG2" s="327"/>
      <c r="AH2" s="327"/>
      <c r="AI2" s="327"/>
      <c r="AJ2" s="327"/>
      <c r="AK2" s="328"/>
    </row>
    <row r="3" spans="2:72">
      <c r="B3" s="396" t="str">
        <f>IF($S$2="STANDARD",'Std Calcs'!B3,'Opt Calcs'!B3)</f>
        <v>BASED ON THE 2008 NEC SECTION 220.40</v>
      </c>
      <c r="F3" s="397"/>
      <c r="G3" s="398" t="s">
        <v>588</v>
      </c>
      <c r="H3" s="398"/>
      <c r="I3" s="398"/>
      <c r="J3" s="398"/>
      <c r="K3" s="398"/>
      <c r="L3" s="340" t="str">
        <f>IF(ISBLANK(Input!J8)=TRUE,"NO ENTRY",Input!J8)</f>
        <v>SP1</v>
      </c>
      <c r="P3" s="49">
        <f>Input!R1</f>
        <v>0</v>
      </c>
      <c r="U3" s="51" t="s">
        <v>493</v>
      </c>
      <c r="AA3" s="51">
        <v>1</v>
      </c>
      <c r="AB3" s="329" t="str">
        <f>IF(ISBLANK(Input!D82)=TRUE,"",Input!D82)</f>
        <v>MIRCOWAVE</v>
      </c>
      <c r="AC3" s="330">
        <f>Input!E82</f>
        <v>2</v>
      </c>
      <c r="AD3" s="331" t="s">
        <v>76</v>
      </c>
      <c r="AE3" s="331">
        <f>Input!F82</f>
        <v>9.5</v>
      </c>
      <c r="AF3" s="331" t="s">
        <v>290</v>
      </c>
      <c r="AG3" s="332">
        <f>Input!Q$5</f>
        <v>120</v>
      </c>
      <c r="AH3" s="331" t="s">
        <v>415</v>
      </c>
      <c r="AI3" s="331" t="str">
        <f>IF(AC3=0,"",CONCATENATE(AB3,AD$1,AC3,AD3,AE3,AF3,AG3,AH3))</f>
        <v xml:space="preserve">MIRCOWAVE ( 2 X 9.5 A X 120 V ) = </v>
      </c>
      <c r="AJ3" s="331"/>
      <c r="AK3" s="333">
        <f>IF(AC3=0,"",ROUND((AC3*AE3*AG3),0))</f>
        <v>2280</v>
      </c>
      <c r="BH3" s="51" t="s">
        <v>566</v>
      </c>
      <c r="BI3" s="51" t="s">
        <v>291</v>
      </c>
      <c r="BJ3" s="335" t="str">
        <f>IF(Input!E33=0,"",Input!E33)</f>
        <v/>
      </c>
      <c r="BK3" s="51" t="s">
        <v>76</v>
      </c>
      <c r="BL3" s="322">
        <f>Input!F33*1000</f>
        <v>0</v>
      </c>
      <c r="BM3" s="51" t="s">
        <v>556</v>
      </c>
      <c r="BN3" s="322"/>
      <c r="BP3" s="51">
        <f>IF(BJ14&gt;3,0.75,1)</f>
        <v>1</v>
      </c>
      <c r="BQ3" s="51" t="s">
        <v>260</v>
      </c>
      <c r="BR3" s="334" t="str">
        <f>IF(BJ3="","",ROUND(BJ3*BL3*BP3,0))</f>
        <v/>
      </c>
      <c r="BS3" s="51" t="s">
        <v>488</v>
      </c>
    </row>
    <row r="4" spans="2:72">
      <c r="B4" s="340" t="str">
        <f>IF(P2&gt;0,"CALCULATIONS WILL NOT DISPLAY UNTIL ALL ERRORS ARE CORRECTED","")</f>
        <v/>
      </c>
      <c r="G4" s="340" t="str">
        <f>IF($S$2="STANDARD",'Std Calcs'!G4,'Opt Calcs'!G4)</f>
        <v xml:space="preserve"> </v>
      </c>
      <c r="U4" s="51" t="s">
        <v>495</v>
      </c>
      <c r="AA4" s="51">
        <f>AA3+1</f>
        <v>2</v>
      </c>
      <c r="AB4" s="329" t="str">
        <f>IF(ISBLANK(Input!D83)=TRUE,"",Input!D83)</f>
        <v>CENTRAL VAC</v>
      </c>
      <c r="AC4" s="331">
        <f>Input!E83</f>
        <v>1</v>
      </c>
      <c r="AD4" s="331" t="s">
        <v>76</v>
      </c>
      <c r="AE4" s="331">
        <f>Input!F83</f>
        <v>12</v>
      </c>
      <c r="AF4" s="331" t="s">
        <v>290</v>
      </c>
      <c r="AG4" s="332">
        <f>Input!Q$5</f>
        <v>120</v>
      </c>
      <c r="AH4" s="331" t="s">
        <v>415</v>
      </c>
      <c r="AI4" s="331" t="str">
        <f t="shared" ref="AI4:AI26" si="0">IF(AC4=0,"",CONCATENATE(AB4,AD$1,AC4,AD4,AE4,AF4,AG4,AH4))</f>
        <v xml:space="preserve">CENTRAL VAC ( 1 X 12 A X 120 V ) = </v>
      </c>
      <c r="AJ4" s="331"/>
      <c r="AK4" s="333">
        <f t="shared" ref="AK4:AK25" si="1">IF(AC4=0,"",ROUND((AC4*AE4*AG4),0))</f>
        <v>1440</v>
      </c>
      <c r="BH4" s="51" t="str">
        <f>IF(ISBLANK(Input!D37)=TRUE,"",Input!D37)</f>
        <v>CENTRAL VAC</v>
      </c>
      <c r="BI4" s="51" t="s">
        <v>291</v>
      </c>
      <c r="BJ4" s="51">
        <f>IF(Input!E37=0,"",Input!E37)</f>
        <v>1</v>
      </c>
      <c r="BK4" s="51" t="s">
        <v>76</v>
      </c>
      <c r="BL4" s="322">
        <f>IF(ISBLANK(Input!F37)=TRUE,"",Input!F37)</f>
        <v>12</v>
      </c>
      <c r="BM4" s="51" t="s">
        <v>76</v>
      </c>
      <c r="BN4" s="322">
        <f>Input!J5</f>
        <v>120</v>
      </c>
      <c r="BO4" s="51" t="s">
        <v>76</v>
      </c>
      <c r="BP4" s="51">
        <f>BP3</f>
        <v>1</v>
      </c>
      <c r="BQ4" s="51" t="s">
        <v>260</v>
      </c>
      <c r="BR4" s="334">
        <f t="shared" ref="BR4:BR13" si="2">IF(BJ4="","",(BJ4*BL4*BN4*BP4))</f>
        <v>1440</v>
      </c>
      <c r="BS4" s="51" t="s">
        <v>488</v>
      </c>
    </row>
    <row r="5" spans="2:72">
      <c r="B5" s="396" t="str">
        <f>IF($S$2="STANDARD",'Std Calcs'!B5,'Opt Calcs'!B5)</f>
        <v>GENERAL LOADS NEC 220.42</v>
      </c>
      <c r="G5" s="396" t="str">
        <f>IF($S$2="STANDARD",'Std Calcs'!G5,'Opt Calcs'!G5)</f>
        <v>HEATING &amp; COOLING LOADS - NEC 220.82(C)</v>
      </c>
      <c r="AA5" s="51">
        <f t="shared" ref="AA5:AA36" si="3">AA4+1</f>
        <v>3</v>
      </c>
      <c r="AB5" s="329" t="str">
        <f>IF(ISBLANK(Input!D84)=TRUE,"",Input!D84)</f>
        <v/>
      </c>
      <c r="AC5" s="331">
        <f>Input!E84</f>
        <v>0</v>
      </c>
      <c r="AD5" s="331" t="s">
        <v>76</v>
      </c>
      <c r="AE5" s="331">
        <f>Input!F84</f>
        <v>0</v>
      </c>
      <c r="AF5" s="331" t="s">
        <v>290</v>
      </c>
      <c r="AG5" s="332">
        <f>Input!Q$5</f>
        <v>120</v>
      </c>
      <c r="AH5" s="331" t="s">
        <v>415</v>
      </c>
      <c r="AI5" s="331" t="str">
        <f t="shared" si="0"/>
        <v/>
      </c>
      <c r="AJ5" s="331"/>
      <c r="AK5" s="333" t="str">
        <f t="shared" si="1"/>
        <v/>
      </c>
      <c r="BH5" s="51" t="str">
        <f>IF(ISBLANK(Input!D38)=TRUE,"",Input!D38)</f>
        <v/>
      </c>
      <c r="BI5" s="51" t="s">
        <v>291</v>
      </c>
      <c r="BJ5" s="51" t="str">
        <f>IF(Input!E38=0,"",Input!E38)</f>
        <v/>
      </c>
      <c r="BK5" s="51" t="s">
        <v>76</v>
      </c>
      <c r="BL5" s="322" t="str">
        <f>IF(ISBLANK(Input!F38)=TRUE,"",Input!F38)</f>
        <v/>
      </c>
      <c r="BM5" s="51" t="s">
        <v>76</v>
      </c>
      <c r="BN5" s="322">
        <f>BN4</f>
        <v>120</v>
      </c>
      <c r="BO5" s="51" t="s">
        <v>76</v>
      </c>
      <c r="BP5" s="51">
        <f t="shared" ref="BP5:BP13" si="4">BP4</f>
        <v>1</v>
      </c>
      <c r="BQ5" s="51" t="s">
        <v>260</v>
      </c>
      <c r="BR5" s="334" t="str">
        <f t="shared" si="2"/>
        <v/>
      </c>
      <c r="BS5" s="51" t="s">
        <v>488</v>
      </c>
    </row>
    <row r="6" spans="2:72">
      <c r="B6" s="340" t="str">
        <f>IF($S$2="STANDARD",'Std Calcs'!B6,'Opt Calcs'!B6)</f>
        <v xml:space="preserve">TOTAL SQ FOOTAGE ( 600 SQ FT X 3 VA ) = </v>
      </c>
      <c r="D6" s="341"/>
      <c r="E6" s="342">
        <f>IF($S$2="STANDARD",'Std Calcs'!E6,'Opt Calcs'!E6)</f>
        <v>1800</v>
      </c>
      <c r="G6" s="340" t="str">
        <f>IF($S$2="STANDARD",'Std Calcs'!G6,'Opt Calcs'!G6)</f>
        <v>(1) AC LOAD ( 4,000 VA X 100% ) = 4,000 VA</v>
      </c>
      <c r="M6" s="340" t="str">
        <f>IF($S$2="STANDARD",'Std Calcs'!M6,'Opt Calcs'!M6)</f>
        <v>&lt; &lt; LARGEST</v>
      </c>
      <c r="Q6" s="335" t="str">
        <f>TEXT(Input!J10,"#,##0")</f>
        <v>600</v>
      </c>
      <c r="R6" s="51" t="s">
        <v>492</v>
      </c>
      <c r="U6" s="336" t="str">
        <f>CONCATENATE(,U2,Q6,R6,S6,T6)</f>
        <v xml:space="preserve">TOTAL SQ FOOTAGE ( 600 SQ FT X 3 VA ) = </v>
      </c>
      <c r="AA6" s="51">
        <f t="shared" si="3"/>
        <v>4</v>
      </c>
      <c r="AB6" s="329" t="str">
        <f>IF(ISBLANK(Input!D85)=TRUE,"",Input!D85)</f>
        <v/>
      </c>
      <c r="AC6" s="331">
        <f>Input!E85</f>
        <v>0</v>
      </c>
      <c r="AD6" s="331" t="s">
        <v>76</v>
      </c>
      <c r="AE6" s="331">
        <f>Input!F85</f>
        <v>0</v>
      </c>
      <c r="AF6" s="331" t="s">
        <v>290</v>
      </c>
      <c r="AG6" s="332">
        <f>Input!Q$5</f>
        <v>120</v>
      </c>
      <c r="AH6" s="331" t="s">
        <v>415</v>
      </c>
      <c r="AI6" s="331" t="str">
        <f t="shared" si="0"/>
        <v/>
      </c>
      <c r="AJ6" s="331"/>
      <c r="AK6" s="333" t="str">
        <f t="shared" si="1"/>
        <v/>
      </c>
      <c r="AT6" s="51" t="s">
        <v>477</v>
      </c>
      <c r="AU6" s="335">
        <f>Input!E31</f>
        <v>0</v>
      </c>
      <c r="BH6" s="51" t="str">
        <f>IF(ISBLANK(Input!D39)=TRUE,"",Input!D39)</f>
        <v/>
      </c>
      <c r="BI6" s="51" t="s">
        <v>291</v>
      </c>
      <c r="BJ6" s="51" t="str">
        <f>IF(Input!E39=0,"",Input!E39)</f>
        <v/>
      </c>
      <c r="BK6" s="51" t="s">
        <v>76</v>
      </c>
      <c r="BL6" s="322" t="str">
        <f>IF(ISBLANK(Input!F39)=TRUE,"",Input!F39)</f>
        <v/>
      </c>
      <c r="BM6" s="51" t="s">
        <v>76</v>
      </c>
      <c r="BN6" s="322">
        <f t="shared" ref="BN6:BN13" si="5">BN5</f>
        <v>120</v>
      </c>
      <c r="BO6" s="51" t="s">
        <v>76</v>
      </c>
      <c r="BP6" s="51">
        <f t="shared" si="4"/>
        <v>1</v>
      </c>
      <c r="BQ6" s="51" t="s">
        <v>260</v>
      </c>
      <c r="BR6" s="334" t="str">
        <f t="shared" si="2"/>
        <v/>
      </c>
      <c r="BS6" s="51" t="s">
        <v>488</v>
      </c>
    </row>
    <row r="7" spans="2:72">
      <c r="B7" s="340" t="str">
        <f>IF($S$2="STANDARD",'Std Calcs'!B7,'Opt Calcs'!B7)</f>
        <v xml:space="preserve">APPLIANCE CIRCUITS ( 0 X 1,500 VA ) = </v>
      </c>
      <c r="D7" s="341"/>
      <c r="E7" s="342">
        <f>IF($S$2="STANDARD",'Std Calcs'!E7,'Opt Calcs'!E7)</f>
        <v>0</v>
      </c>
      <c r="G7" s="340" t="str">
        <f>IF($S$2="STANDARD",'Std Calcs'!G7,'Opt Calcs'!G7)</f>
        <v>(2) HEAT PUMPS NO SUPP ( 0 VA X 100% ) = 0 VA</v>
      </c>
      <c r="M7" s="340" t="str">
        <f>IF($S$2="STANDARD",'Std Calcs'!M7,'Opt Calcs'!M7)</f>
        <v/>
      </c>
      <c r="Q7" s="337">
        <f>Input!J11</f>
        <v>0</v>
      </c>
      <c r="R7" s="51" t="s">
        <v>494</v>
      </c>
      <c r="U7" s="336" t="str">
        <f>CONCATENATE(U3,Q7,R7,S7,T7)</f>
        <v xml:space="preserve">APPLIANCE CIRCUITS ( 0 X 1,500 VA ) = </v>
      </c>
      <c r="AA7" s="51">
        <f t="shared" si="3"/>
        <v>5</v>
      </c>
      <c r="AB7" s="329" t="str">
        <f>IF(ISBLANK(Input!D86)=TRUE,"",Input!D86)</f>
        <v/>
      </c>
      <c r="AC7" s="331">
        <f>Input!E86</f>
        <v>0</v>
      </c>
      <c r="AD7" s="331" t="s">
        <v>76</v>
      </c>
      <c r="AE7" s="331">
        <f>Input!F86</f>
        <v>0</v>
      </c>
      <c r="AF7" s="331" t="s">
        <v>290</v>
      </c>
      <c r="AG7" s="332">
        <f>Input!Q$5</f>
        <v>120</v>
      </c>
      <c r="AH7" s="331" t="s">
        <v>415</v>
      </c>
      <c r="AI7" s="331" t="str">
        <f t="shared" si="0"/>
        <v/>
      </c>
      <c r="AJ7" s="331"/>
      <c r="AK7" s="333" t="str">
        <f t="shared" si="1"/>
        <v/>
      </c>
      <c r="AT7" s="51" t="s">
        <v>133</v>
      </c>
      <c r="AU7" s="51">
        <f>Input!F31</f>
        <v>0</v>
      </c>
      <c r="BH7" s="51" t="str">
        <f>IF(ISBLANK(Input!D40)=TRUE,"",Input!D40)</f>
        <v/>
      </c>
      <c r="BI7" s="51" t="s">
        <v>291</v>
      </c>
      <c r="BJ7" s="51" t="str">
        <f>IF(Input!E40=0,"",Input!E40)</f>
        <v/>
      </c>
      <c r="BK7" s="51" t="s">
        <v>76</v>
      </c>
      <c r="BL7" s="322" t="str">
        <f>IF(ISBLANK(Input!F40)=TRUE,"",Input!F40)</f>
        <v/>
      </c>
      <c r="BM7" s="51" t="s">
        <v>76</v>
      </c>
      <c r="BN7" s="322">
        <f t="shared" si="5"/>
        <v>120</v>
      </c>
      <c r="BO7" s="51" t="s">
        <v>76</v>
      </c>
      <c r="BP7" s="51">
        <f t="shared" si="4"/>
        <v>1</v>
      </c>
      <c r="BQ7" s="51" t="s">
        <v>260</v>
      </c>
      <c r="BR7" s="334" t="str">
        <f t="shared" si="2"/>
        <v/>
      </c>
      <c r="BS7" s="51" t="s">
        <v>488</v>
      </c>
    </row>
    <row r="8" spans="2:72">
      <c r="B8" s="340" t="str">
        <f>IF($S$2="STANDARD",'Std Calcs'!B8,'Opt Calcs'!B8)</f>
        <v xml:space="preserve">LAUNDRY CIRCUITS ( 1 X 1,500 VA ) = </v>
      </c>
      <c r="D8" s="341"/>
      <c r="E8" s="342">
        <f>IF($S$2="STANDARD",'Std Calcs'!E8,'Opt Calcs'!E8)</f>
        <v>1500</v>
      </c>
      <c r="G8" s="340" t="str">
        <f>IF($S$2="STANDARD",'Std Calcs'!G8,'Opt Calcs'!G8)</f>
        <v>(3) HEAT PUMPS ( 0 VA X 100% ) = 0 VA</v>
      </c>
      <c r="M8" s="340" t="str">
        <f>IF($S$2="STANDARD",'Std Calcs'!M8,'Opt Calcs'!M8)</f>
        <v/>
      </c>
      <c r="Q8" s="337">
        <f>Input!J12</f>
        <v>1</v>
      </c>
      <c r="R8" s="51" t="s">
        <v>494</v>
      </c>
      <c r="U8" s="336" t="str">
        <f>CONCATENATE(U4,Q8,R8,S8,T8)</f>
        <v xml:space="preserve">LAUNDRY CIRCUITS ( 1 X 1,500 VA ) = </v>
      </c>
      <c r="AA8" s="51">
        <f t="shared" si="3"/>
        <v>6</v>
      </c>
      <c r="AB8" s="329" t="str">
        <f>IF(ISBLANK(Input!D87)=TRUE,"",Input!D87)</f>
        <v/>
      </c>
      <c r="AC8" s="331">
        <f>Input!E87</f>
        <v>0</v>
      </c>
      <c r="AD8" s="331" t="s">
        <v>76</v>
      </c>
      <c r="AE8" s="331">
        <f>Input!F87</f>
        <v>0</v>
      </c>
      <c r="AF8" s="331" t="s">
        <v>290</v>
      </c>
      <c r="AG8" s="332">
        <f>Input!Q$5</f>
        <v>120</v>
      </c>
      <c r="AH8" s="331" t="s">
        <v>415</v>
      </c>
      <c r="AI8" s="331" t="str">
        <f t="shared" si="0"/>
        <v/>
      </c>
      <c r="AJ8" s="331"/>
      <c r="AK8" s="333" t="str">
        <f t="shared" si="1"/>
        <v/>
      </c>
      <c r="AT8" s="51" t="s">
        <v>77</v>
      </c>
      <c r="AU8" s="49">
        <f>Input!J9</f>
        <v>1</v>
      </c>
      <c r="BH8" s="51" t="str">
        <f>IF(ISBLANK(Input!D41)=TRUE,"",Input!D41)</f>
        <v/>
      </c>
      <c r="BI8" s="51" t="s">
        <v>291</v>
      </c>
      <c r="BJ8" s="51" t="str">
        <f>IF(Input!E41=0,"",Input!E41)</f>
        <v/>
      </c>
      <c r="BK8" s="51" t="s">
        <v>76</v>
      </c>
      <c r="BL8" s="322" t="str">
        <f>IF(ISBLANK(Input!F41)=TRUE,"",Input!F41)</f>
        <v/>
      </c>
      <c r="BM8" s="51" t="s">
        <v>76</v>
      </c>
      <c r="BN8" s="322">
        <f t="shared" si="5"/>
        <v>120</v>
      </c>
      <c r="BO8" s="51" t="s">
        <v>76</v>
      </c>
      <c r="BP8" s="51">
        <f t="shared" si="4"/>
        <v>1</v>
      </c>
      <c r="BQ8" s="51" t="s">
        <v>260</v>
      </c>
      <c r="BR8" s="334" t="str">
        <f t="shared" si="2"/>
        <v/>
      </c>
      <c r="BS8" s="51" t="s">
        <v>488</v>
      </c>
    </row>
    <row r="9" spans="2:72">
      <c r="B9" s="340" t="str">
        <f>IF($S$2="STANDARD",'Std Calcs'!B9,'Opt Calcs'!B9)</f>
        <v xml:space="preserve"> </v>
      </c>
      <c r="D9" s="341"/>
      <c r="E9" s="342">
        <f>IF($S$2="STANDARD",'Std Calcs'!E9,'Opt Calcs'!E9)</f>
        <v>3300</v>
      </c>
      <c r="G9" s="340" t="str">
        <f>IF($S$2="STANDARD",'Std Calcs'!G9,'Opt Calcs'!G9)</f>
        <v xml:space="preserve">      SUPPLEMENTAL HEAT ( 0 VA X 65% ) = 0 VA</v>
      </c>
      <c r="M9" s="340" t="str">
        <f>IF($S$2="STANDARD",'Std Calcs'!M9,'Opt Calcs'!M9)</f>
        <v/>
      </c>
      <c r="Q9" s="337">
        <f>Input!E31</f>
        <v>0</v>
      </c>
      <c r="R9" s="51" t="s">
        <v>76</v>
      </c>
      <c r="S9" s="51" t="str">
        <f>TEXT(Input!F31*1000,"#,##0")</f>
        <v>0</v>
      </c>
      <c r="T9" s="51" t="s">
        <v>78</v>
      </c>
      <c r="U9" s="51" t="str">
        <f>CONCATENATE(Q9,R9,S9,T9)</f>
        <v xml:space="preserve">0 X 0 VA = </v>
      </c>
      <c r="AA9" s="51">
        <f t="shared" si="3"/>
        <v>7</v>
      </c>
      <c r="AB9" s="329" t="str">
        <f>IF(ISBLANK(Input!D88)=TRUE,"",Input!D88)</f>
        <v/>
      </c>
      <c r="AC9" s="331">
        <f>Input!E88</f>
        <v>0</v>
      </c>
      <c r="AD9" s="331" t="s">
        <v>76</v>
      </c>
      <c r="AE9" s="331">
        <f>Input!F88</f>
        <v>0</v>
      </c>
      <c r="AF9" s="331" t="s">
        <v>290</v>
      </c>
      <c r="AG9" s="332">
        <f>Input!Q$5</f>
        <v>120</v>
      </c>
      <c r="AH9" s="331" t="s">
        <v>415</v>
      </c>
      <c r="AI9" s="331" t="str">
        <f t="shared" si="0"/>
        <v/>
      </c>
      <c r="AJ9" s="331"/>
      <c r="AK9" s="333" t="str">
        <f t="shared" si="1"/>
        <v/>
      </c>
      <c r="AT9" s="51" t="s">
        <v>490</v>
      </c>
      <c r="AU9" s="51">
        <f>CEILING(AU6/3,1)*2</f>
        <v>0</v>
      </c>
      <c r="BH9" s="51" t="str">
        <f>IF(ISBLANK(Input!D42)=TRUE,"",Input!D42)</f>
        <v/>
      </c>
      <c r="BI9" s="51" t="s">
        <v>291</v>
      </c>
      <c r="BJ9" s="51" t="str">
        <f>IF(Input!E42=0,"",Input!E42)</f>
        <v/>
      </c>
      <c r="BK9" s="51" t="s">
        <v>76</v>
      </c>
      <c r="BL9" s="322" t="str">
        <f>IF(ISBLANK(Input!F42)=TRUE,"",Input!F42)</f>
        <v/>
      </c>
      <c r="BM9" s="51" t="s">
        <v>76</v>
      </c>
      <c r="BN9" s="322">
        <f t="shared" si="5"/>
        <v>120</v>
      </c>
      <c r="BO9" s="51" t="s">
        <v>76</v>
      </c>
      <c r="BP9" s="51">
        <f t="shared" si="4"/>
        <v>1</v>
      </c>
      <c r="BQ9" s="51" t="s">
        <v>260</v>
      </c>
      <c r="BR9" s="334" t="str">
        <f t="shared" si="2"/>
        <v/>
      </c>
      <c r="BS9" s="51" t="s">
        <v>488</v>
      </c>
    </row>
    <row r="10" spans="2:72">
      <c r="B10" s="340" t="str">
        <f>IF($S$2="STANDARD",'Std Calcs'!B10,'Opt Calcs'!B10)</f>
        <v xml:space="preserve"> </v>
      </c>
      <c r="D10" s="341"/>
      <c r="E10" s="342" t="str">
        <f>IF($S$2="STANDARD",'Std Calcs'!E10,'Opt Calcs'!E10)</f>
        <v xml:space="preserve"> </v>
      </c>
      <c r="G10" s="340" t="str">
        <f>IF($S$2="STANDARD",'Std Calcs'!G10,'Opt Calcs'!G10)</f>
        <v>(4) ELECTRIC SPACE ( 0 VA X 65% ) = 0 VA</v>
      </c>
      <c r="M10" s="340" t="str">
        <f>IF($S$2="STANDARD",'Std Calcs'!M10,'Opt Calcs'!M10)</f>
        <v/>
      </c>
      <c r="Q10" s="337">
        <f>Input!E32</f>
        <v>1</v>
      </c>
      <c r="R10" s="51" t="s">
        <v>76</v>
      </c>
      <c r="S10" s="51" t="str">
        <f>TEXT(Input!F32*1000,"#,##0")</f>
        <v>5,000</v>
      </c>
      <c r="T10" s="51" t="s">
        <v>78</v>
      </c>
      <c r="U10" s="51" t="str">
        <f>CONCATENATE(Q10,R10,S10,T10)</f>
        <v xml:space="preserve">1 X 5,000 VA = </v>
      </c>
      <c r="AA10" s="51">
        <f t="shared" si="3"/>
        <v>8</v>
      </c>
      <c r="AB10" s="329" t="str">
        <f>IF(ISBLANK(Input!D89)=TRUE,"",Input!D89)</f>
        <v/>
      </c>
      <c r="AC10" s="331">
        <f>Input!E89</f>
        <v>0</v>
      </c>
      <c r="AD10" s="331" t="s">
        <v>76</v>
      </c>
      <c r="AE10" s="331">
        <f>Input!F89</f>
        <v>0</v>
      </c>
      <c r="AF10" s="331" t="s">
        <v>290</v>
      </c>
      <c r="AG10" s="332">
        <f>Input!Q$5</f>
        <v>120</v>
      </c>
      <c r="AH10" s="331" t="s">
        <v>415</v>
      </c>
      <c r="AI10" s="331" t="str">
        <f t="shared" si="0"/>
        <v/>
      </c>
      <c r="AJ10" s="331"/>
      <c r="AK10" s="333" t="str">
        <f t="shared" si="1"/>
        <v/>
      </c>
      <c r="BH10" s="51" t="str">
        <f>IF(ISBLANK(Input!D43)=TRUE,"",Input!D43)</f>
        <v/>
      </c>
      <c r="BI10" s="51" t="s">
        <v>291</v>
      </c>
      <c r="BJ10" s="51" t="str">
        <f>IF(Input!E43=0,"",Input!E43)</f>
        <v/>
      </c>
      <c r="BK10" s="51" t="s">
        <v>76</v>
      </c>
      <c r="BL10" s="322" t="str">
        <f>IF(ISBLANK(Input!F43)=TRUE,"",Input!F43)</f>
        <v/>
      </c>
      <c r="BM10" s="51" t="s">
        <v>76</v>
      </c>
      <c r="BN10" s="322">
        <f t="shared" si="5"/>
        <v>120</v>
      </c>
      <c r="BO10" s="51" t="s">
        <v>76</v>
      </c>
      <c r="BP10" s="51">
        <f t="shared" si="4"/>
        <v>1</v>
      </c>
      <c r="BQ10" s="51" t="s">
        <v>260</v>
      </c>
      <c r="BR10" s="334" t="str">
        <f t="shared" si="2"/>
        <v/>
      </c>
      <c r="BS10" s="51" t="s">
        <v>488</v>
      </c>
    </row>
    <row r="11" spans="2:72">
      <c r="B11" s="340" t="str">
        <f>IF($S$2="STANDARD",'Std Calcs'!B11,'Opt Calcs'!B11)</f>
        <v>FIRST 3,000 VA AT 100%</v>
      </c>
      <c r="D11" s="341"/>
      <c r="E11" s="342">
        <f>IF($S$2="STANDARD",'Std Calcs'!E11,'Opt Calcs'!E11)</f>
        <v>3000</v>
      </c>
      <c r="G11" s="340" t="str">
        <f>IF($S$2="STANDARD",'Std Calcs'!G11,'Opt Calcs'!G11)</f>
        <v xml:space="preserve">      LESS THAN FOUR SEPARATELY CONTROLLED UNITS.</v>
      </c>
      <c r="M11" s="340" t="str">
        <f>IF($S$2="STANDARD",'Std Calcs'!M11,'Opt Calcs'!M11)</f>
        <v/>
      </c>
      <c r="Q11" s="337">
        <f>Input!E33</f>
        <v>0</v>
      </c>
      <c r="R11" s="51" t="s">
        <v>76</v>
      </c>
      <c r="S11" s="51" t="str">
        <f>TEXT(Input!F33*1000,"#,##0")</f>
        <v>0</v>
      </c>
      <c r="T11" s="51" t="s">
        <v>496</v>
      </c>
      <c r="U11" s="51" t="str">
        <f>CONCATENATE(U13,Q11,R11,S11,T11)</f>
        <v xml:space="preserve">WATER HEATERS ( 0 X 0 VA ) = </v>
      </c>
      <c r="AA11" s="51">
        <f t="shared" si="3"/>
        <v>9</v>
      </c>
      <c r="AB11" s="329" t="str">
        <f>IF(ISBLANK(Input!D90)=TRUE,"",Input!D90)</f>
        <v/>
      </c>
      <c r="AC11" s="331">
        <f>Input!E90</f>
        <v>0</v>
      </c>
      <c r="AD11" s="331" t="s">
        <v>76</v>
      </c>
      <c r="AE11" s="331">
        <f>Input!F90</f>
        <v>0</v>
      </c>
      <c r="AF11" s="331" t="s">
        <v>290</v>
      </c>
      <c r="AG11" s="332">
        <f>Input!Q$5</f>
        <v>120</v>
      </c>
      <c r="AH11" s="331" t="s">
        <v>415</v>
      </c>
      <c r="AI11" s="331" t="str">
        <f t="shared" si="0"/>
        <v/>
      </c>
      <c r="AJ11" s="331"/>
      <c r="AK11" s="333" t="str">
        <f t="shared" si="1"/>
        <v/>
      </c>
      <c r="AT11" s="51" t="str">
        <f>IF(AU6=1,"RANGE ( ","RANGES ( ")</f>
        <v xml:space="preserve">RANGES ( </v>
      </c>
      <c r="AU11" s="339">
        <f>IF(AU8=1,AU6,IF(AND(AU6=1,AU8="3Y"),1,AU9))</f>
        <v>0</v>
      </c>
      <c r="AV11" s="51" t="str">
        <f>IF(AND(AU6=1,AU8=1)," RANGE X ",IF(AND(AU8=1,AU6&gt;1)," RANGES X "," ON ANY 2 PHASES ) = "))</f>
        <v xml:space="preserve"> ON ANY 2 PHASES ) = </v>
      </c>
      <c r="AW11" s="51">
        <f>IF(AU8=1,AU7*1000,AU11*AU7*1000)</f>
        <v>0</v>
      </c>
      <c r="AX11" s="51" t="str">
        <f>IF(AU8=1," VA ) = "," KVA")</f>
        <v xml:space="preserve"> VA ) = </v>
      </c>
      <c r="AY11" s="51">
        <f>IF(AU8=1,AW11*AU11,"")</f>
        <v>0</v>
      </c>
      <c r="BH11" s="51" t="str">
        <f>IF(ISBLANK(Input!D44)=TRUE,"",Input!D44)</f>
        <v/>
      </c>
      <c r="BI11" s="51" t="s">
        <v>291</v>
      </c>
      <c r="BJ11" s="51" t="str">
        <f>IF(Input!E44=0,"",Input!E44)</f>
        <v/>
      </c>
      <c r="BK11" s="51" t="s">
        <v>76</v>
      </c>
      <c r="BL11" s="322" t="str">
        <f>IF(ISBLANK(Input!F44)=TRUE,"",Input!F44)</f>
        <v/>
      </c>
      <c r="BM11" s="51" t="s">
        <v>76</v>
      </c>
      <c r="BN11" s="322">
        <f t="shared" si="5"/>
        <v>120</v>
      </c>
      <c r="BO11" s="51" t="s">
        <v>76</v>
      </c>
      <c r="BP11" s="51">
        <f t="shared" si="4"/>
        <v>1</v>
      </c>
      <c r="BQ11" s="51" t="s">
        <v>260</v>
      </c>
      <c r="BR11" s="334" t="str">
        <f t="shared" si="2"/>
        <v/>
      </c>
      <c r="BS11" s="51" t="s">
        <v>488</v>
      </c>
    </row>
    <row r="12" spans="2:72">
      <c r="B12" s="340" t="str">
        <f>IF($S$2="STANDARD",'Std Calcs'!B12,'Opt Calcs'!B12)</f>
        <v>REMAINING VA AT 35%</v>
      </c>
      <c r="D12" s="341"/>
      <c r="E12" s="342">
        <f>IF($S$2="STANDARD",'Std Calcs'!E12,'Opt Calcs'!E12)</f>
        <v>105</v>
      </c>
      <c r="G12" s="340" t="str">
        <f>IF($S$2="STANDARD",'Std Calcs'!G12,'Opt Calcs'!G12)</f>
        <v>(5) SPACE HEATING ( 0 VA X 40% ) = 0 VA</v>
      </c>
      <c r="M12" s="340" t="str">
        <f>IF($S$2="STANDARD",'Std Calcs'!M12,'Opt Calcs'!M12)</f>
        <v/>
      </c>
      <c r="AA12" s="51">
        <f t="shared" si="3"/>
        <v>10</v>
      </c>
      <c r="AB12" s="329" t="str">
        <f>IF(ISBLANK(Input!D91)=TRUE,"",Input!D91)</f>
        <v/>
      </c>
      <c r="AC12" s="331">
        <f>Input!E91</f>
        <v>0</v>
      </c>
      <c r="AD12" s="331" t="s">
        <v>76</v>
      </c>
      <c r="AE12" s="331">
        <f>Input!F91</f>
        <v>0</v>
      </c>
      <c r="AF12" s="331" t="s">
        <v>290</v>
      </c>
      <c r="AG12" s="332">
        <f>Input!Q$5</f>
        <v>120</v>
      </c>
      <c r="AH12" s="331" t="s">
        <v>415</v>
      </c>
      <c r="AI12" s="331" t="str">
        <f t="shared" si="0"/>
        <v/>
      </c>
      <c r="AJ12" s="331"/>
      <c r="AK12" s="333" t="str">
        <f t="shared" si="1"/>
        <v/>
      </c>
      <c r="AT12" s="51" t="str">
        <f>AT11</f>
        <v xml:space="preserve">RANGES ( </v>
      </c>
      <c r="AU12" s="339" t="str">
        <f>TEXT(AU11,"0")</f>
        <v>0</v>
      </c>
      <c r="AV12" s="51" t="str">
        <f>AV11</f>
        <v xml:space="preserve"> ON ANY 2 PHASES ) = </v>
      </c>
      <c r="AW12" s="334" t="str">
        <f>TEXT(AW11,"#,##0")</f>
        <v>0</v>
      </c>
      <c r="AX12" s="51" t="str">
        <f>AX11</f>
        <v xml:space="preserve"> VA ) = </v>
      </c>
      <c r="BA12" s="51" t="str">
        <f>CONCATENATE(AT12,AU12,AV12,AW12,AX12)</f>
        <v xml:space="preserve">RANGES ( 0 ON ANY 2 PHASES ) = 0 VA ) = </v>
      </c>
      <c r="BH12" s="51" t="str">
        <f>IF(ISBLANK(Input!D45)=TRUE,"",Input!D45)</f>
        <v/>
      </c>
      <c r="BI12" s="51" t="s">
        <v>291</v>
      </c>
      <c r="BJ12" s="51" t="str">
        <f>IF(Input!E45=0,"",Input!E45)</f>
        <v/>
      </c>
      <c r="BK12" s="51" t="s">
        <v>76</v>
      </c>
      <c r="BL12" s="322" t="str">
        <f>IF(ISBLANK(Input!F45)=TRUE,"",Input!F45)</f>
        <v/>
      </c>
      <c r="BM12" s="51" t="s">
        <v>76</v>
      </c>
      <c r="BN12" s="322">
        <f t="shared" si="5"/>
        <v>120</v>
      </c>
      <c r="BO12" s="51" t="s">
        <v>76</v>
      </c>
      <c r="BP12" s="51">
        <f t="shared" si="4"/>
        <v>1</v>
      </c>
      <c r="BQ12" s="51" t="s">
        <v>260</v>
      </c>
      <c r="BR12" s="334" t="str">
        <f t="shared" si="2"/>
        <v/>
      </c>
      <c r="BS12" s="51" t="s">
        <v>488</v>
      </c>
    </row>
    <row r="13" spans="2:72">
      <c r="B13" s="340" t="str">
        <f>IF($S$2="STANDARD",'Std Calcs'!B13,'Opt Calcs'!B13)</f>
        <v xml:space="preserve"> </v>
      </c>
      <c r="D13" s="341"/>
      <c r="E13" s="342">
        <f>IF($S$2="STANDARD",'Std Calcs'!E13,'Opt Calcs'!E13)</f>
        <v>3105</v>
      </c>
      <c r="G13" s="340" t="str">
        <f>IF($S$2="STANDARD",'Std Calcs'!G13,'Opt Calcs'!G13)</f>
        <v xml:space="preserve">      MORE THAN FOUR SEPARATELY CONTROLLED UNITS.</v>
      </c>
      <c r="M13" s="340" t="str">
        <f>IF($S$2="STANDARD",'Std Calcs'!M13,'Opt Calcs'!M13)</f>
        <v xml:space="preserve"> </v>
      </c>
      <c r="U13" s="51" t="s">
        <v>562</v>
      </c>
      <c r="AA13" s="51">
        <f t="shared" si="3"/>
        <v>11</v>
      </c>
      <c r="AB13" s="329" t="str">
        <f>IF(ISBLANK(Input!D92)=TRUE,"",Input!D92)</f>
        <v/>
      </c>
      <c r="AC13" s="331">
        <f>Input!E92</f>
        <v>0</v>
      </c>
      <c r="AD13" s="331" t="s">
        <v>76</v>
      </c>
      <c r="AE13" s="331">
        <f>Input!F92</f>
        <v>0</v>
      </c>
      <c r="AF13" s="331" t="s">
        <v>290</v>
      </c>
      <c r="AG13" s="332">
        <f>Input!Q$5</f>
        <v>120</v>
      </c>
      <c r="AH13" s="331" t="s">
        <v>415</v>
      </c>
      <c r="AI13" s="331" t="str">
        <f t="shared" si="0"/>
        <v/>
      </c>
      <c r="AJ13" s="331"/>
      <c r="AK13" s="333" t="str">
        <f t="shared" si="1"/>
        <v/>
      </c>
      <c r="BH13" s="51" t="str">
        <f>IF(ISBLANK(Input!D46)=TRUE,"",Input!D46)</f>
        <v/>
      </c>
      <c r="BI13" s="51" t="s">
        <v>291</v>
      </c>
      <c r="BJ13" s="51" t="str">
        <f>IF(Input!E46=0,"",Input!E46)</f>
        <v/>
      </c>
      <c r="BK13" s="51" t="s">
        <v>76</v>
      </c>
      <c r="BL13" s="322" t="str">
        <f>IF(ISBLANK(Input!F46)=TRUE,"",Input!F46)</f>
        <v/>
      </c>
      <c r="BM13" s="51" t="s">
        <v>76</v>
      </c>
      <c r="BN13" s="322">
        <f t="shared" si="5"/>
        <v>120</v>
      </c>
      <c r="BO13" s="51" t="s">
        <v>76</v>
      </c>
      <c r="BP13" s="51">
        <f t="shared" si="4"/>
        <v>1</v>
      </c>
      <c r="BQ13" s="51" t="s">
        <v>260</v>
      </c>
      <c r="BR13" s="334" t="str">
        <f t="shared" si="2"/>
        <v/>
      </c>
      <c r="BS13" s="51" t="s">
        <v>488</v>
      </c>
    </row>
    <row r="14" spans="2:72">
      <c r="B14" s="340" t="str">
        <f>IF($S$2="STANDARD",'Std Calcs'!B14,'Opt Calcs'!B14)</f>
        <v xml:space="preserve"> </v>
      </c>
      <c r="D14" s="341"/>
      <c r="E14" s="342" t="str">
        <f>IF($S$2="STANDARD",'Std Calcs'!E14,'Opt Calcs'!E14)</f>
        <v xml:space="preserve"> </v>
      </c>
      <c r="G14" s="340" t="str">
        <f>IF($S$2="STANDARD",'Std Calcs'!G14,'Opt Calcs'!G14)</f>
        <v>(6) SPACE HEATING (0 VA X 100% ) = 0 VA</v>
      </c>
      <c r="M14" s="340" t="str">
        <f>IF($S$2="STANDARD",'Std Calcs'!M14,'Opt Calcs'!M14)</f>
        <v/>
      </c>
      <c r="AA14" s="51">
        <f t="shared" si="3"/>
        <v>12</v>
      </c>
      <c r="AB14" s="329" t="str">
        <f>IF(ISBLANK(Input!D93)=TRUE,"",Input!D93)</f>
        <v/>
      </c>
      <c r="AC14" s="331">
        <f>Input!E93</f>
        <v>0</v>
      </c>
      <c r="AD14" s="331" t="s">
        <v>76</v>
      </c>
      <c r="AE14" s="331">
        <f>Input!F93</f>
        <v>0</v>
      </c>
      <c r="AF14" s="331" t="s">
        <v>290</v>
      </c>
      <c r="AG14" s="332">
        <f>Input!Q$5</f>
        <v>120</v>
      </c>
      <c r="AH14" s="331" t="s">
        <v>415</v>
      </c>
      <c r="AI14" s="331" t="str">
        <f t="shared" si="0"/>
        <v/>
      </c>
      <c r="AJ14" s="331"/>
      <c r="AK14" s="333" t="str">
        <f t="shared" si="1"/>
        <v/>
      </c>
      <c r="AT14" s="51" t="s">
        <v>487</v>
      </c>
      <c r="AU14" s="51">
        <f>AW11</f>
        <v>0</v>
      </c>
      <c r="AV14" s="51" t="str">
        <f>IF(AND(AU6=1,AU8="3Y"),""," VA ÷ 2 ) = ")</f>
        <v xml:space="preserve"> VA ÷ 2 ) = </v>
      </c>
      <c r="AW14" s="51">
        <f>AU14/2</f>
        <v>0</v>
      </c>
      <c r="AX14" s="51" t="s">
        <v>488</v>
      </c>
      <c r="BJ14" s="335">
        <v>1</v>
      </c>
      <c r="BL14" s="322"/>
      <c r="BN14" s="322"/>
      <c r="BR14" s="334"/>
    </row>
    <row r="15" spans="2:72">
      <c r="B15" s="340" t="str">
        <f>IF($S$2="STANDARD",'Std Calcs'!B15,'Opt Calcs'!B15)</f>
        <v>NO RANGE0 AT 0 VA EA )</v>
      </c>
      <c r="D15" s="341"/>
      <c r="E15" s="342" t="str">
        <f>IF($S$2="STANDARD",'Std Calcs'!E15,'Opt Calcs'!E15)</f>
        <v xml:space="preserve"> </v>
      </c>
      <c r="G15" s="340" t="str">
        <f>IF($S$2="STANDARD",'Std Calcs'!G15,'Opt Calcs'!G15)</f>
        <v xml:space="preserve">      CONTINUOUS AT THE FULL NAMEPLATE VALUE.</v>
      </c>
      <c r="M15" s="340" t="str">
        <f>IF($S$2="STANDARD",'Std Calcs'!M15,'Opt Calcs'!M15)</f>
        <v xml:space="preserve"> </v>
      </c>
      <c r="AA15" s="51">
        <f t="shared" si="3"/>
        <v>13</v>
      </c>
      <c r="AB15" s="329" t="str">
        <f>IF(ISBLANK(Input!D94)=TRUE,"",Input!D94)</f>
        <v/>
      </c>
      <c r="AC15" s="331">
        <f>Input!E94</f>
        <v>0</v>
      </c>
      <c r="AD15" s="331" t="s">
        <v>76</v>
      </c>
      <c r="AE15" s="331">
        <f>Input!F94</f>
        <v>0</v>
      </c>
      <c r="AF15" s="331" t="s">
        <v>290</v>
      </c>
      <c r="AG15" s="332">
        <f>Input!Q$5</f>
        <v>120</v>
      </c>
      <c r="AH15" s="331" t="s">
        <v>415</v>
      </c>
      <c r="AI15" s="331" t="str">
        <f t="shared" si="0"/>
        <v/>
      </c>
      <c r="AJ15" s="331"/>
      <c r="AK15" s="333" t="str">
        <f t="shared" si="1"/>
        <v/>
      </c>
      <c r="AT15" s="51" t="s">
        <v>487</v>
      </c>
      <c r="AU15" s="334" t="str">
        <f>TEXT(AU14,"#,##0")</f>
        <v>0</v>
      </c>
      <c r="AV15" s="51" t="s">
        <v>497</v>
      </c>
      <c r="AW15" s="334" t="str">
        <f>TEXT(AW14,"#,##0")</f>
        <v>0</v>
      </c>
      <c r="AX15" s="51" t="s">
        <v>488</v>
      </c>
      <c r="BA15" s="51" t="str">
        <f>IF(AU8=1,"",CONCATENATE(AT15,AU15,AV15,AW15,AX15))</f>
        <v/>
      </c>
      <c r="BL15" s="322"/>
      <c r="BN15" s="322"/>
      <c r="BR15" s="334"/>
    </row>
    <row r="16" spans="2:72">
      <c r="B16" s="340" t="str">
        <f>IF($S$2="STANDARD",'Std Calcs'!B16,'Opt Calcs'!B16)</f>
        <v>PER TABLE 220.55 ( 0 VA X 1.00 ) =  VA</v>
      </c>
      <c r="D16" s="341"/>
      <c r="E16" s="342">
        <f>IF($S$2="STANDARD",'Std Calcs'!E16,'Opt Calcs'!E16)</f>
        <v>0</v>
      </c>
      <c r="G16" s="340" t="str">
        <f>IF($S$2="STANDARD",'Std Calcs'!G16,'Opt Calcs'!G16)</f>
        <v>LARGEST HEATING OR COOLING LOAD</v>
      </c>
      <c r="M16" s="342">
        <f>IF($S$2="STANDARD",'Std Calcs'!M16,'Opt Calcs'!M16)</f>
        <v>4000</v>
      </c>
      <c r="AA16" s="51">
        <f t="shared" si="3"/>
        <v>14</v>
      </c>
      <c r="AB16" s="329" t="str">
        <f>IF(ISBLANK(Input!D95)=TRUE,"",Input!D95)</f>
        <v/>
      </c>
      <c r="AC16" s="331">
        <f>Input!E95</f>
        <v>0</v>
      </c>
      <c r="AD16" s="331" t="s">
        <v>76</v>
      </c>
      <c r="AE16" s="331">
        <f>Input!F95</f>
        <v>0</v>
      </c>
      <c r="AF16" s="331" t="s">
        <v>290</v>
      </c>
      <c r="AG16" s="332">
        <f>Input!Q$5</f>
        <v>120</v>
      </c>
      <c r="AH16" s="331" t="s">
        <v>415</v>
      </c>
      <c r="AI16" s="331" t="str">
        <f t="shared" si="0"/>
        <v/>
      </c>
      <c r="AJ16" s="331"/>
      <c r="AK16" s="333" t="str">
        <f t="shared" si="1"/>
        <v/>
      </c>
      <c r="BH16" s="51" t="str">
        <f>BH3</f>
        <v>WATER HEATER</v>
      </c>
      <c r="BI16" s="51" t="s">
        <v>291</v>
      </c>
      <c r="BJ16" s="340" t="str">
        <f t="shared" ref="BJ16:BJ26" si="6">TEXT(BJ3, "#,##0")</f>
        <v/>
      </c>
      <c r="BK16" s="51" t="s">
        <v>76</v>
      </c>
      <c r="BL16" s="456" t="str">
        <f>TEXT(BL3, "#,##0")</f>
        <v>0</v>
      </c>
      <c r="BM16" s="51" t="s">
        <v>488</v>
      </c>
      <c r="BN16" s="322"/>
      <c r="BP16" s="456"/>
      <c r="BQ16" s="51" t="s">
        <v>260</v>
      </c>
      <c r="BR16" s="341" t="str">
        <f>TEXT(BR3, "#,##0")</f>
        <v/>
      </c>
      <c r="BS16" s="51" t="s">
        <v>488</v>
      </c>
      <c r="BT16" s="51" t="str">
        <f>IF(BJ3="","",CONCATENATE(BH16,BI16,BJ16,BK16,BL16,BM16,BN16,BO16,BP16,BQ16))</f>
        <v/>
      </c>
    </row>
    <row r="17" spans="2:72">
      <c r="B17" s="340" t="str">
        <f>IF($S$2="STANDARD",'Std Calcs'!B17,'Opt Calcs'!B17)</f>
        <v/>
      </c>
      <c r="D17" s="341"/>
      <c r="E17" s="342" t="str">
        <f>IF($S$2="STANDARD",'Std Calcs'!E17,'Opt Calcs'!E17)</f>
        <v xml:space="preserve"> </v>
      </c>
      <c r="G17" s="340" t="str">
        <f>IF($S$2="STANDARD",'Std Calcs'!G17,'Opt Calcs'!G17)</f>
        <v xml:space="preserve"> </v>
      </c>
      <c r="M17" s="340" t="str">
        <f>IF($S$2="STANDARD",'Std Calcs'!M17,'Opt Calcs'!M17)</f>
        <v xml:space="preserve"> </v>
      </c>
      <c r="Q17" s="51" t="s">
        <v>79</v>
      </c>
      <c r="R17" s="321">
        <f>SUM(E41:E75)</f>
        <v>17800</v>
      </c>
      <c r="AA17" s="51">
        <f t="shared" si="3"/>
        <v>15</v>
      </c>
      <c r="AB17" s="329" t="str">
        <f>IF(ISBLANK(Input!D96)=TRUE,"",Input!D96)</f>
        <v/>
      </c>
      <c r="AC17" s="331">
        <f>Input!E96</f>
        <v>0</v>
      </c>
      <c r="AD17" s="331" t="s">
        <v>76</v>
      </c>
      <c r="AE17" s="331">
        <f>Input!F96</f>
        <v>0</v>
      </c>
      <c r="AF17" s="331" t="s">
        <v>290</v>
      </c>
      <c r="AG17" s="332">
        <f>Input!Q$5</f>
        <v>120</v>
      </c>
      <c r="AH17" s="331" t="s">
        <v>415</v>
      </c>
      <c r="AI17" s="331" t="str">
        <f t="shared" si="0"/>
        <v/>
      </c>
      <c r="AJ17" s="331"/>
      <c r="AK17" s="333" t="str">
        <f t="shared" si="1"/>
        <v/>
      </c>
      <c r="AT17" s="51" t="s">
        <v>489</v>
      </c>
      <c r="AU17" s="51">
        <f>AW14</f>
        <v>0</v>
      </c>
      <c r="AV17" s="51" t="s">
        <v>498</v>
      </c>
      <c r="AX17" s="51" t="str">
        <f>IF(AU8=1,"",AU17*3)</f>
        <v/>
      </c>
      <c r="BH17" s="51" t="str">
        <f>BH4</f>
        <v>CENTRAL VAC</v>
      </c>
      <c r="BI17" s="51" t="s">
        <v>291</v>
      </c>
      <c r="BJ17" s="340" t="str">
        <f t="shared" si="6"/>
        <v>1</v>
      </c>
      <c r="BK17" s="51" t="s">
        <v>76</v>
      </c>
      <c r="BL17" s="456" t="str">
        <f>TEXT(BL4, "#,##0.0")</f>
        <v>12.0</v>
      </c>
      <c r="BM17" s="51" t="s">
        <v>290</v>
      </c>
      <c r="BN17" s="456" t="str">
        <f>TEXT(BN4, "#,##0")</f>
        <v>120</v>
      </c>
      <c r="BO17" s="51" t="s">
        <v>567</v>
      </c>
      <c r="BP17" s="456"/>
      <c r="BQ17" s="51" t="s">
        <v>260</v>
      </c>
      <c r="BR17" s="341" t="str">
        <f>TEXT(BR4, "#,##0")</f>
        <v>1,440</v>
      </c>
      <c r="BS17" s="51" t="s">
        <v>488</v>
      </c>
      <c r="BT17" s="51" t="str">
        <f>IF(BJ3="","",CONCATENATE(BH17,BI17,BJ17,BK17,BL17,BM17,BN17,BO17,BP17,BQ17))</f>
        <v/>
      </c>
    </row>
    <row r="18" spans="2:72">
      <c r="B18" s="340" t="str">
        <f>IF($S$2="STANDARD",'Std Calcs'!B18,'Opt Calcs'!B18)</f>
        <v/>
      </c>
      <c r="D18" s="341"/>
      <c r="E18" s="342" t="str">
        <f>IF($S$2="STANDARD",'Std Calcs'!E18,'Opt Calcs'!E18)</f>
        <v xml:space="preserve"> </v>
      </c>
      <c r="G18" s="396" t="str">
        <f>IF($S$2="STANDARD",'Std Calcs'!G18,'Opt Calcs'!G18)</f>
        <v>NEUTRAL LOAD NEC 220.61</v>
      </c>
      <c r="H18" s="396"/>
      <c r="I18" s="396"/>
      <c r="J18" s="396"/>
      <c r="K18" s="396"/>
      <c r="M18" s="340" t="str">
        <f>IF($S$2="STANDARD",'Std Calcs'!M18,'Opt Calcs'!M18)</f>
        <v xml:space="preserve"> </v>
      </c>
      <c r="AA18" s="51">
        <f t="shared" si="3"/>
        <v>16</v>
      </c>
      <c r="AB18" s="329" t="str">
        <f>IF(ISBLANK(Input!D97)=TRUE,"",Input!D97)</f>
        <v/>
      </c>
      <c r="AC18" s="331">
        <f>Input!E97</f>
        <v>0</v>
      </c>
      <c r="AD18" s="331" t="s">
        <v>76</v>
      </c>
      <c r="AE18" s="331">
        <f>Input!F97</f>
        <v>0</v>
      </c>
      <c r="AF18" s="331" t="s">
        <v>290</v>
      </c>
      <c r="AG18" s="332">
        <f>Input!Q$5</f>
        <v>120</v>
      </c>
      <c r="AH18" s="331" t="s">
        <v>415</v>
      </c>
      <c r="AI18" s="331" t="str">
        <f t="shared" si="0"/>
        <v/>
      </c>
      <c r="AJ18" s="331"/>
      <c r="AK18" s="333" t="str">
        <f t="shared" si="1"/>
        <v/>
      </c>
      <c r="AT18" s="51" t="s">
        <v>489</v>
      </c>
      <c r="AU18" s="334" t="str">
        <f>TEXT(AU17,"#,##0")</f>
        <v>0</v>
      </c>
      <c r="AV18" s="51" t="s">
        <v>498</v>
      </c>
      <c r="BA18" s="51" t="str">
        <f>IF(AU8=1,"",CONCATENATE(AT18,AU18,AV18,AW18,AX18))</f>
        <v/>
      </c>
      <c r="BH18" s="51" t="str">
        <f t="shared" ref="BH18:BH26" si="7">BH5</f>
        <v/>
      </c>
      <c r="BI18" s="51" t="s">
        <v>291</v>
      </c>
      <c r="BJ18" s="340" t="str">
        <f t="shared" si="6"/>
        <v/>
      </c>
      <c r="BK18" s="51" t="s">
        <v>76</v>
      </c>
      <c r="BL18" s="456" t="str">
        <f t="shared" ref="BL18:BL26" si="8">TEXT(BL5, "#,##0.0")</f>
        <v/>
      </c>
      <c r="BM18" s="51" t="s">
        <v>290</v>
      </c>
      <c r="BN18" s="456" t="str">
        <f t="shared" ref="BN18:BN26" si="9">TEXT(BN5, "#,##0")</f>
        <v>120</v>
      </c>
      <c r="BO18" s="51" t="s">
        <v>567</v>
      </c>
      <c r="BP18" s="456"/>
      <c r="BQ18" s="51" t="s">
        <v>260</v>
      </c>
      <c r="BR18" s="341" t="str">
        <f t="shared" ref="BR18:BR26" si="10">TEXT(BR5, "#,##0")</f>
        <v/>
      </c>
      <c r="BS18" s="51" t="s">
        <v>488</v>
      </c>
      <c r="BT18" s="51" t="str">
        <f t="shared" ref="BT18:BT26" si="11">IF(BJ4="","",CONCATENATE(BH18,BI18,BJ18,BK18,BL18,BM18,BN18,BO18,BP18,BQ18))</f>
        <v xml:space="preserve"> (  X  A X 120 V ) = </v>
      </c>
    </row>
    <row r="19" spans="2:72">
      <c r="B19" s="340" t="str">
        <f>IF($S$2="STANDARD",'Std Calcs'!B19,'Opt Calcs'!B19)</f>
        <v/>
      </c>
      <c r="D19" s="341"/>
      <c r="E19" s="342" t="str">
        <f>IF($S$2="STANDARD",'Std Calcs'!E19,'Opt Calcs'!E19)</f>
        <v/>
      </c>
      <c r="G19" s="340" t="str">
        <f>IF($S$2="STANDARD",'Std Calcs'!G19,'Opt Calcs'!G19)</f>
        <v xml:space="preserve">TOTAL SQ FOOTAGE ( 600 SQ FT X 3 VA ) = </v>
      </c>
      <c r="L19" s="341"/>
      <c r="M19" s="342">
        <f>IF($S$2="STANDARD",'Std Calcs'!M19,'Opt Calcs'!M19)</f>
        <v>1800</v>
      </c>
      <c r="V19" s="335"/>
      <c r="AA19" s="51">
        <f t="shared" si="3"/>
        <v>17</v>
      </c>
      <c r="AB19" s="329" t="str">
        <f>IF(ISBLANK(Input!D98)=TRUE,"",Input!D98)</f>
        <v/>
      </c>
      <c r="AC19" s="331">
        <f>Input!E98</f>
        <v>0</v>
      </c>
      <c r="AD19" s="331" t="s">
        <v>76</v>
      </c>
      <c r="AE19" s="331">
        <f>Input!F98</f>
        <v>0</v>
      </c>
      <c r="AF19" s="331" t="s">
        <v>290</v>
      </c>
      <c r="AG19" s="332">
        <f>Input!Q$5</f>
        <v>120</v>
      </c>
      <c r="AH19" s="331" t="s">
        <v>415</v>
      </c>
      <c r="AI19" s="331" t="str">
        <f t="shared" si="0"/>
        <v/>
      </c>
      <c r="AJ19" s="331"/>
      <c r="AK19" s="333" t="str">
        <f t="shared" si="1"/>
        <v/>
      </c>
      <c r="BH19" s="51" t="str">
        <f t="shared" si="7"/>
        <v/>
      </c>
      <c r="BI19" s="51" t="s">
        <v>291</v>
      </c>
      <c r="BJ19" s="340" t="str">
        <f t="shared" si="6"/>
        <v/>
      </c>
      <c r="BK19" s="51" t="s">
        <v>76</v>
      </c>
      <c r="BL19" s="456" t="str">
        <f t="shared" si="8"/>
        <v/>
      </c>
      <c r="BM19" s="51" t="s">
        <v>290</v>
      </c>
      <c r="BN19" s="456" t="str">
        <f t="shared" si="9"/>
        <v>120</v>
      </c>
      <c r="BO19" s="51" t="s">
        <v>567</v>
      </c>
      <c r="BP19" s="456"/>
      <c r="BQ19" s="51" t="s">
        <v>260</v>
      </c>
      <c r="BR19" s="341" t="str">
        <f t="shared" si="10"/>
        <v/>
      </c>
      <c r="BS19" s="51" t="s">
        <v>488</v>
      </c>
      <c r="BT19" s="51" t="str">
        <f t="shared" si="11"/>
        <v/>
      </c>
    </row>
    <row r="20" spans="2:72">
      <c r="B20" s="340" t="str">
        <f>IF($S$2="STANDARD",'Std Calcs'!B20,'Opt Calcs'!B20)</f>
        <v xml:space="preserve"> </v>
      </c>
      <c r="D20" s="341"/>
      <c r="E20" s="342" t="str">
        <f>IF($S$2="STANDARD",'Std Calcs'!E20,'Opt Calcs'!E20)</f>
        <v xml:space="preserve"> </v>
      </c>
      <c r="G20" s="340" t="str">
        <f>IF($S$2="STANDARD",'Std Calcs'!G20,'Opt Calcs'!G20)</f>
        <v xml:space="preserve">APPLIANCE CIRCUITS ( 0 X 1,500 VA ) = </v>
      </c>
      <c r="L20" s="341"/>
      <c r="M20" s="342">
        <f>IF($S$2="STANDARD",'Std Calcs'!M20,'Opt Calcs'!M20)</f>
        <v>0</v>
      </c>
      <c r="AA20" s="51">
        <f t="shared" si="3"/>
        <v>18</v>
      </c>
      <c r="AB20" s="329" t="str">
        <f>IF(ISBLANK(Input!D99)=TRUE,"",Input!D99)</f>
        <v/>
      </c>
      <c r="AC20" s="331">
        <f>Input!E99</f>
        <v>0</v>
      </c>
      <c r="AD20" s="331" t="s">
        <v>76</v>
      </c>
      <c r="AE20" s="331">
        <f>Input!F99</f>
        <v>0</v>
      </c>
      <c r="AF20" s="331" t="s">
        <v>290</v>
      </c>
      <c r="AG20" s="332">
        <f>Input!Q$5</f>
        <v>120</v>
      </c>
      <c r="AH20" s="331" t="s">
        <v>415</v>
      </c>
      <c r="AI20" s="331" t="str">
        <f t="shared" si="0"/>
        <v/>
      </c>
      <c r="AJ20" s="331"/>
      <c r="AK20" s="333" t="str">
        <f t="shared" si="1"/>
        <v/>
      </c>
      <c r="BH20" s="51" t="str">
        <f t="shared" si="7"/>
        <v/>
      </c>
      <c r="BI20" s="51" t="s">
        <v>291</v>
      </c>
      <c r="BJ20" s="340" t="str">
        <f t="shared" si="6"/>
        <v/>
      </c>
      <c r="BK20" s="51" t="s">
        <v>76</v>
      </c>
      <c r="BL20" s="456" t="str">
        <f t="shared" si="8"/>
        <v/>
      </c>
      <c r="BM20" s="51" t="s">
        <v>290</v>
      </c>
      <c r="BN20" s="456" t="str">
        <f t="shared" si="9"/>
        <v>120</v>
      </c>
      <c r="BO20" s="51" t="s">
        <v>567</v>
      </c>
      <c r="BP20" s="456"/>
      <c r="BQ20" s="51" t="s">
        <v>260</v>
      </c>
      <c r="BR20" s="341" t="str">
        <f t="shared" si="10"/>
        <v/>
      </c>
      <c r="BS20" s="51" t="s">
        <v>488</v>
      </c>
      <c r="BT20" s="51" t="str">
        <f t="shared" si="11"/>
        <v/>
      </c>
    </row>
    <row r="21" spans="2:72">
      <c r="B21" s="340" t="str">
        <f>IF($S$2="STANDARD",'Std Calcs'!B21,'Opt Calcs'!B21)</f>
        <v>DRYER ( 1 AT 5,000 VA )</v>
      </c>
      <c r="D21" s="341"/>
      <c r="E21" s="342" t="str">
        <f>IF($S$2="STANDARD",'Std Calcs'!E21,'Opt Calcs'!E21)</f>
        <v xml:space="preserve"> </v>
      </c>
      <c r="G21" s="340" t="str">
        <f>IF($S$2="STANDARD",'Std Calcs'!G21,'Opt Calcs'!G21)</f>
        <v xml:space="preserve">LAUNDRY CIRCUITS ( 1 X 1,500 VA ) = </v>
      </c>
      <c r="L21" s="341"/>
      <c r="M21" s="342">
        <f>IF($S$2="STANDARD",'Std Calcs'!M21,'Opt Calcs'!M21)</f>
        <v>1500</v>
      </c>
      <c r="V21" s="49"/>
      <c r="AA21" s="51">
        <f t="shared" si="3"/>
        <v>19</v>
      </c>
      <c r="AB21" s="329" t="str">
        <f>IF(ISBLANK(Input!D100)=TRUE,"",Input!D100)</f>
        <v/>
      </c>
      <c r="AC21" s="331">
        <f>Input!E100</f>
        <v>0</v>
      </c>
      <c r="AD21" s="331" t="s">
        <v>76</v>
      </c>
      <c r="AE21" s="331">
        <f>Input!F100</f>
        <v>0</v>
      </c>
      <c r="AF21" s="331" t="s">
        <v>290</v>
      </c>
      <c r="AG21" s="332">
        <f>Input!Q$5</f>
        <v>120</v>
      </c>
      <c r="AH21" s="331" t="s">
        <v>415</v>
      </c>
      <c r="AI21" s="331" t="str">
        <f t="shared" si="0"/>
        <v/>
      </c>
      <c r="AJ21" s="331"/>
      <c r="AK21" s="333" t="str">
        <f t="shared" si="1"/>
        <v/>
      </c>
      <c r="BH21" s="51" t="str">
        <f t="shared" si="7"/>
        <v/>
      </c>
      <c r="BI21" s="51" t="s">
        <v>291</v>
      </c>
      <c r="BJ21" s="340" t="str">
        <f t="shared" si="6"/>
        <v/>
      </c>
      <c r="BK21" s="51" t="s">
        <v>76</v>
      </c>
      <c r="BL21" s="456" t="str">
        <f t="shared" si="8"/>
        <v/>
      </c>
      <c r="BM21" s="51" t="s">
        <v>290</v>
      </c>
      <c r="BN21" s="456" t="str">
        <f t="shared" si="9"/>
        <v>120</v>
      </c>
      <c r="BO21" s="51" t="s">
        <v>567</v>
      </c>
      <c r="BP21" s="456"/>
      <c r="BQ21" s="51" t="s">
        <v>260</v>
      </c>
      <c r="BR21" s="341" t="str">
        <f t="shared" si="10"/>
        <v/>
      </c>
      <c r="BS21" s="51" t="s">
        <v>488</v>
      </c>
      <c r="BT21" s="51" t="str">
        <f t="shared" si="11"/>
        <v/>
      </c>
    </row>
    <row r="22" spans="2:72">
      <c r="B22" s="340" t="str">
        <f>IF($S$2="STANDARD",'Std Calcs'!B22,'Opt Calcs'!B22)</f>
        <v xml:space="preserve">PER TABLE 220.54 ( 1 X 5,000 X 1.00 ) = </v>
      </c>
      <c r="D22" s="341"/>
      <c r="E22" s="342">
        <f>IF($S$2="STANDARD",'Std Calcs'!E22,'Opt Calcs'!E22)</f>
        <v>5000</v>
      </c>
      <c r="G22" s="340" t="str">
        <f>IF($S$2="STANDARD",'Std Calcs'!G22,'Opt Calcs'!G22)</f>
        <v>TOTAL CONNECTED NEUTRAL LOAD</v>
      </c>
      <c r="M22" s="399">
        <f>IF($S$2="STANDARD",'Std Calcs'!M22,'Opt Calcs'!M22)</f>
        <v>3300</v>
      </c>
      <c r="AA22" s="51">
        <f t="shared" si="3"/>
        <v>20</v>
      </c>
      <c r="AB22" s="329" t="str">
        <f>IF(ISBLANK(Input!D101)=TRUE,"",Input!D101)</f>
        <v/>
      </c>
      <c r="AC22" s="331">
        <f>Input!E101</f>
        <v>0</v>
      </c>
      <c r="AD22" s="331" t="s">
        <v>76</v>
      </c>
      <c r="AE22" s="331">
        <f>Input!F101</f>
        <v>0</v>
      </c>
      <c r="AF22" s="331" t="s">
        <v>290</v>
      </c>
      <c r="AG22" s="332">
        <f>Input!Q$5</f>
        <v>120</v>
      </c>
      <c r="AH22" s="331" t="s">
        <v>415</v>
      </c>
      <c r="AI22" s="331" t="str">
        <f t="shared" si="0"/>
        <v/>
      </c>
      <c r="AJ22" s="331"/>
      <c r="AK22" s="333" t="str">
        <f t="shared" si="1"/>
        <v/>
      </c>
      <c r="BH22" s="51" t="str">
        <f t="shared" si="7"/>
        <v/>
      </c>
      <c r="BI22" s="51" t="s">
        <v>291</v>
      </c>
      <c r="BJ22" s="340" t="str">
        <f t="shared" si="6"/>
        <v/>
      </c>
      <c r="BK22" s="51" t="s">
        <v>76</v>
      </c>
      <c r="BL22" s="456" t="str">
        <f t="shared" si="8"/>
        <v/>
      </c>
      <c r="BM22" s="51" t="s">
        <v>290</v>
      </c>
      <c r="BN22" s="456" t="str">
        <f t="shared" si="9"/>
        <v>120</v>
      </c>
      <c r="BO22" s="51" t="s">
        <v>567</v>
      </c>
      <c r="BP22" s="456"/>
      <c r="BQ22" s="51" t="s">
        <v>260</v>
      </c>
      <c r="BR22" s="341" t="str">
        <f t="shared" si="10"/>
        <v/>
      </c>
      <c r="BS22" s="51" t="s">
        <v>488</v>
      </c>
      <c r="BT22" s="51" t="str">
        <f t="shared" si="11"/>
        <v/>
      </c>
    </row>
    <row r="23" spans="2:72">
      <c r="B23" s="340" t="str">
        <f>IF($S$2="STANDARD",'Std Calcs'!B23,'Opt Calcs'!B23)</f>
        <v/>
      </c>
      <c r="D23" s="341"/>
      <c r="E23" s="342" t="str">
        <f>IF($S$2="STANDARD",'Std Calcs'!E23,'Opt Calcs'!E23)</f>
        <v xml:space="preserve"> </v>
      </c>
      <c r="G23" s="340" t="str">
        <f>IF($S$2="STANDARD",'Std Calcs'!G23,'Opt Calcs'!G23)</f>
        <v xml:space="preserve"> </v>
      </c>
      <c r="M23" s="340" t="str">
        <f>IF($S$2="STANDARD",'Std Calcs'!M23,'Opt Calcs'!M23)</f>
        <v xml:space="preserve"> </v>
      </c>
      <c r="AA23" s="51">
        <f t="shared" si="3"/>
        <v>21</v>
      </c>
      <c r="AB23" s="329" t="str">
        <f>IF(ISBLANK(Input!D102)=TRUE,"",Input!D102)</f>
        <v/>
      </c>
      <c r="AC23" s="331">
        <f>Input!E102</f>
        <v>0</v>
      </c>
      <c r="AD23" s="331" t="s">
        <v>76</v>
      </c>
      <c r="AE23" s="331">
        <f>Input!F102</f>
        <v>0</v>
      </c>
      <c r="AF23" s="331" t="s">
        <v>290</v>
      </c>
      <c r="AG23" s="332">
        <f>Input!Q$5</f>
        <v>120</v>
      </c>
      <c r="AH23" s="331" t="s">
        <v>415</v>
      </c>
      <c r="AI23" s="331" t="str">
        <f t="shared" si="0"/>
        <v/>
      </c>
      <c r="AJ23" s="331"/>
      <c r="AK23" s="333" t="str">
        <f t="shared" si="1"/>
        <v/>
      </c>
      <c r="BH23" s="51" t="str">
        <f t="shared" si="7"/>
        <v/>
      </c>
      <c r="BI23" s="51" t="s">
        <v>291</v>
      </c>
      <c r="BJ23" s="340" t="str">
        <f t="shared" si="6"/>
        <v/>
      </c>
      <c r="BK23" s="51" t="s">
        <v>76</v>
      </c>
      <c r="BL23" s="456" t="str">
        <f t="shared" si="8"/>
        <v/>
      </c>
      <c r="BM23" s="51" t="s">
        <v>290</v>
      </c>
      <c r="BN23" s="456" t="str">
        <f t="shared" si="9"/>
        <v>120</v>
      </c>
      <c r="BO23" s="51" t="s">
        <v>567</v>
      </c>
      <c r="BP23" s="456"/>
      <c r="BQ23" s="51" t="s">
        <v>260</v>
      </c>
      <c r="BR23" s="341" t="str">
        <f t="shared" si="10"/>
        <v/>
      </c>
      <c r="BS23" s="51" t="s">
        <v>488</v>
      </c>
      <c r="BT23" s="51" t="str">
        <f t="shared" si="11"/>
        <v/>
      </c>
    </row>
    <row r="24" spans="2:72">
      <c r="B24" s="340" t="str">
        <f>IF($S$2="STANDARD",'Std Calcs'!B24,'Opt Calcs'!B24)</f>
        <v/>
      </c>
      <c r="D24" s="341"/>
      <c r="E24" s="342" t="str">
        <f>IF($S$2="STANDARD",'Std Calcs'!E24,'Opt Calcs'!E24)</f>
        <v xml:space="preserve"> </v>
      </c>
      <c r="G24" s="340" t="str">
        <f>IF($S$2="STANDARD",'Std Calcs'!G24,'Opt Calcs'!G24)</f>
        <v xml:space="preserve">FIRST 3,000 VA @ 100% ( 3,000 VA X 1.00 ) = </v>
      </c>
      <c r="L24" s="341"/>
      <c r="M24" s="342">
        <f>IF($S$2="STANDARD",'Std Calcs'!M24,'Opt Calcs'!M24)</f>
        <v>3000</v>
      </c>
      <c r="V24" s="339"/>
      <c r="AA24" s="51">
        <f t="shared" si="3"/>
        <v>22</v>
      </c>
      <c r="AB24" s="329" t="str">
        <f>IF(ISBLANK(Input!D103)=TRUE,"",Input!D103)</f>
        <v/>
      </c>
      <c r="AC24" s="331">
        <f>Input!E103</f>
        <v>0</v>
      </c>
      <c r="AD24" s="331" t="s">
        <v>76</v>
      </c>
      <c r="AE24" s="331">
        <f>Input!F103</f>
        <v>0</v>
      </c>
      <c r="AF24" s="331" t="s">
        <v>290</v>
      </c>
      <c r="AG24" s="332">
        <f>Input!Q$5</f>
        <v>120</v>
      </c>
      <c r="AH24" s="331" t="s">
        <v>415</v>
      </c>
      <c r="AI24" s="331" t="str">
        <f t="shared" si="0"/>
        <v/>
      </c>
      <c r="AJ24" s="331"/>
      <c r="AK24" s="333" t="str">
        <f t="shared" si="1"/>
        <v/>
      </c>
      <c r="AT24" s="51" t="s">
        <v>58</v>
      </c>
      <c r="AU24" s="335">
        <f>Input!E32</f>
        <v>1</v>
      </c>
      <c r="BH24" s="51" t="str">
        <f t="shared" si="7"/>
        <v/>
      </c>
      <c r="BI24" s="51" t="s">
        <v>291</v>
      </c>
      <c r="BJ24" s="340" t="str">
        <f t="shared" si="6"/>
        <v/>
      </c>
      <c r="BK24" s="51" t="s">
        <v>76</v>
      </c>
      <c r="BL24" s="456" t="str">
        <f t="shared" si="8"/>
        <v/>
      </c>
      <c r="BM24" s="51" t="s">
        <v>290</v>
      </c>
      <c r="BN24" s="456" t="str">
        <f t="shared" si="9"/>
        <v>120</v>
      </c>
      <c r="BO24" s="51" t="s">
        <v>567</v>
      </c>
      <c r="BP24" s="456"/>
      <c r="BQ24" s="51" t="s">
        <v>260</v>
      </c>
      <c r="BR24" s="341" t="str">
        <f t="shared" si="10"/>
        <v/>
      </c>
      <c r="BS24" s="51" t="s">
        <v>488</v>
      </c>
      <c r="BT24" s="51" t="str">
        <f t="shared" si="11"/>
        <v/>
      </c>
    </row>
    <row r="25" spans="2:72">
      <c r="B25" s="340" t="str">
        <f>IF($S$2="STANDARD",'Std Calcs'!B25,'Opt Calcs'!B25)</f>
        <v/>
      </c>
      <c r="D25" s="341"/>
      <c r="E25" s="342" t="str">
        <f>IF($S$2="STANDARD",'Std Calcs'!E25,'Opt Calcs'!E25)</f>
        <v/>
      </c>
      <c r="G25" s="340" t="str">
        <f>IF($S$2="STANDARD",'Std Calcs'!G25,'Opt Calcs'!G25)</f>
        <v xml:space="preserve">3,000-120,000 VA @ 35% ( 300 VA X 0.35 ) = </v>
      </c>
      <c r="L25" s="341"/>
      <c r="M25" s="342">
        <f>IF($S$2="STANDARD",'Std Calcs'!M25,'Opt Calcs'!M25)</f>
        <v>105</v>
      </c>
      <c r="AA25" s="51">
        <f t="shared" si="3"/>
        <v>23</v>
      </c>
      <c r="AB25" s="329" t="str">
        <f>IF(ISBLANK(Input!D104)=TRUE,"",Input!D104)</f>
        <v/>
      </c>
      <c r="AC25" s="331">
        <f>Input!E104</f>
        <v>0</v>
      </c>
      <c r="AD25" s="331" t="s">
        <v>76</v>
      </c>
      <c r="AE25" s="331">
        <f>Input!F104</f>
        <v>0</v>
      </c>
      <c r="AF25" s="331" t="s">
        <v>290</v>
      </c>
      <c r="AG25" s="332">
        <f>Input!Q$5</f>
        <v>120</v>
      </c>
      <c r="AH25" s="331" t="s">
        <v>415</v>
      </c>
      <c r="AI25" s="331" t="str">
        <f t="shared" si="0"/>
        <v/>
      </c>
      <c r="AJ25" s="331"/>
      <c r="AK25" s="333" t="str">
        <f t="shared" si="1"/>
        <v/>
      </c>
      <c r="AT25" s="51" t="s">
        <v>133</v>
      </c>
      <c r="AU25" s="51">
        <f>Input!F32</f>
        <v>5</v>
      </c>
      <c r="BH25" s="51" t="str">
        <f t="shared" si="7"/>
        <v/>
      </c>
      <c r="BI25" s="51" t="s">
        <v>291</v>
      </c>
      <c r="BJ25" s="340" t="str">
        <f t="shared" si="6"/>
        <v/>
      </c>
      <c r="BK25" s="51" t="s">
        <v>76</v>
      </c>
      <c r="BL25" s="456" t="str">
        <f t="shared" si="8"/>
        <v/>
      </c>
      <c r="BM25" s="51" t="s">
        <v>290</v>
      </c>
      <c r="BN25" s="456" t="str">
        <f t="shared" si="9"/>
        <v>120</v>
      </c>
      <c r="BO25" s="51" t="s">
        <v>567</v>
      </c>
      <c r="BP25" s="456"/>
      <c r="BQ25" s="51" t="s">
        <v>260</v>
      </c>
      <c r="BR25" s="341" t="str">
        <f t="shared" si="10"/>
        <v/>
      </c>
      <c r="BS25" s="51" t="s">
        <v>488</v>
      </c>
      <c r="BT25" s="51" t="str">
        <f t="shared" si="11"/>
        <v/>
      </c>
    </row>
    <row r="26" spans="2:72">
      <c r="B26" s="340" t="str">
        <f>IF($S$2="STANDARD",'Std Calcs'!B26,'Opt Calcs'!B26)</f>
        <v xml:space="preserve"> </v>
      </c>
      <c r="D26" s="341"/>
      <c r="E26" s="342" t="str">
        <f>IF($S$2="STANDARD",'Std Calcs'!E26,'Opt Calcs'!E26)</f>
        <v xml:space="preserve"> </v>
      </c>
      <c r="G26" s="340" t="str">
        <f>IF($S$2="STANDARD",'Std Calcs'!G26,'Opt Calcs'!G26)</f>
        <v xml:space="preserve">OVER 120,000 VA @ 25% ( 0 VA X 0.25 ) = </v>
      </c>
      <c r="L26" s="341"/>
      <c r="M26" s="342">
        <f>IF($S$2="STANDARD",'Std Calcs'!M26,'Opt Calcs'!M26)</f>
        <v>0</v>
      </c>
      <c r="AA26" s="51">
        <f t="shared" si="3"/>
        <v>24</v>
      </c>
      <c r="AB26" s="329" t="str">
        <f>IF(ISBLANK(Input!D105)=TRUE,"",Input!D105)</f>
        <v/>
      </c>
      <c r="AC26" s="331">
        <f>Input!E105</f>
        <v>0</v>
      </c>
      <c r="AD26" s="331" t="s">
        <v>76</v>
      </c>
      <c r="AE26" s="331">
        <f>Input!F105</f>
        <v>0</v>
      </c>
      <c r="AF26" s="331" t="s">
        <v>290</v>
      </c>
      <c r="AG26" s="332">
        <f>Input!Q$5</f>
        <v>120</v>
      </c>
      <c r="AH26" s="331" t="s">
        <v>415</v>
      </c>
      <c r="AI26" s="331" t="str">
        <f t="shared" si="0"/>
        <v/>
      </c>
      <c r="AJ26" s="331"/>
      <c r="AK26" s="333" t="str">
        <f>IF(AC26=0,"",ROUND((AC26*AE26*AG26),0))</f>
        <v/>
      </c>
      <c r="AT26" s="51" t="s">
        <v>77</v>
      </c>
      <c r="AU26" s="49">
        <f>Input!J9</f>
        <v>1</v>
      </c>
      <c r="BH26" s="51" t="str">
        <f t="shared" si="7"/>
        <v/>
      </c>
      <c r="BI26" s="51" t="s">
        <v>291</v>
      </c>
      <c r="BJ26" s="340" t="str">
        <f t="shared" si="6"/>
        <v/>
      </c>
      <c r="BK26" s="51" t="s">
        <v>76</v>
      </c>
      <c r="BL26" s="456" t="str">
        <f t="shared" si="8"/>
        <v/>
      </c>
      <c r="BM26" s="51" t="s">
        <v>290</v>
      </c>
      <c r="BN26" s="456" t="str">
        <f t="shared" si="9"/>
        <v>120</v>
      </c>
      <c r="BO26" s="51" t="s">
        <v>567</v>
      </c>
      <c r="BP26" s="456"/>
      <c r="BQ26" s="51" t="s">
        <v>260</v>
      </c>
      <c r="BR26" s="341" t="str">
        <f t="shared" si="10"/>
        <v/>
      </c>
      <c r="BS26" s="51" t="s">
        <v>488</v>
      </c>
      <c r="BT26" s="51" t="str">
        <f t="shared" si="11"/>
        <v/>
      </c>
    </row>
    <row r="27" spans="2:72">
      <c r="B27" s="396" t="str">
        <f>IF($S$2="STANDARD",'Std Calcs'!B27,'Opt Calcs'!B27)</f>
        <v>APPLIANCES FASTENED IN PLACE NEC SECTION 220.53</v>
      </c>
      <c r="D27" s="341"/>
      <c r="E27" s="342" t="str">
        <f>IF($S$2="STANDARD",'Std Calcs'!E27,'Opt Calcs'!E27)</f>
        <v xml:space="preserve"> </v>
      </c>
      <c r="G27" s="340" t="str">
        <f>IF($S$2="STANDARD",'Std Calcs'!G27,'Opt Calcs'!G27)</f>
        <v>SUBTOTAL</v>
      </c>
      <c r="M27" s="399">
        <f>IF($S$2="STANDARD",'Std Calcs'!M27,'Opt Calcs'!M27)</f>
        <v>3105</v>
      </c>
      <c r="AA27" s="51">
        <f t="shared" si="3"/>
        <v>25</v>
      </c>
      <c r="AB27" s="343" t="str">
        <f>IF(ISBLANK(Input!D109)=TRUE,"",Input!D109)</f>
        <v>PUMP</v>
      </c>
      <c r="AC27" s="344">
        <f>Input!E109</f>
        <v>2</v>
      </c>
      <c r="AD27" s="345" t="s">
        <v>76</v>
      </c>
      <c r="AE27" s="345">
        <f>Input!F109</f>
        <v>21</v>
      </c>
      <c r="AF27" s="345" t="str">
        <f>IF(OR(Input!J$9=1,Input!H109=1)," A X "," A X 1.732 X ")</f>
        <v xml:space="preserve"> A X </v>
      </c>
      <c r="AG27" s="346">
        <f>Input!Q$4</f>
        <v>240</v>
      </c>
      <c r="AH27" s="345" t="s">
        <v>415</v>
      </c>
      <c r="AI27" s="345" t="str">
        <f>IF(AC27=0,"",CONCATENATE(AB27,AD$1,AC27,AD27,AE27,AF27,AG27,AH27))</f>
        <v xml:space="preserve">PUMP ( 2 X 21 A X 240 V ) = </v>
      </c>
      <c r="AJ27" s="345"/>
      <c r="AK27" s="347">
        <f>IF(AC27=0,"",IF(OR(Input!J$9=1,Input!H109=1),ROUND((AC27*AE27*AG27),0),ROUND((AC27*AE27*AG27*1.732),0)))</f>
        <v>10080</v>
      </c>
      <c r="AT27" s="51" t="s">
        <v>490</v>
      </c>
      <c r="AU27" s="51">
        <f>CEILING(AU24/3,1)*2</f>
        <v>2</v>
      </c>
      <c r="AY27" s="51">
        <f>AW29*AU29</f>
        <v>5000</v>
      </c>
    </row>
    <row r="28" spans="2:72">
      <c r="B28" s="340" t="str">
        <f>IF($S$2="STANDARD",'Std Calcs'!B28,'Opt Calcs'!B28)</f>
        <v/>
      </c>
      <c r="D28" s="341"/>
      <c r="E28" s="342" t="str">
        <f>IF($S$2="STANDARD",'Std Calcs'!E28,'Opt Calcs'!E28)</f>
        <v/>
      </c>
      <c r="G28" s="340" t="str">
        <f>IF($S$2="STANDARD",'Std Calcs'!G28,'Opt Calcs'!G28)</f>
        <v xml:space="preserve"> </v>
      </c>
      <c r="M28" s="340" t="str">
        <f>IF($S$2="STANDARD",'Std Calcs'!M28,'Opt Calcs'!M28)</f>
        <v xml:space="preserve"> </v>
      </c>
      <c r="Q28" s="51" t="s">
        <v>512</v>
      </c>
      <c r="R28" s="50">
        <f>M44</f>
        <v>37</v>
      </c>
      <c r="S28" s="51" t="s">
        <v>513</v>
      </c>
      <c r="AA28" s="51">
        <f t="shared" si="3"/>
        <v>26</v>
      </c>
      <c r="AB28" s="343" t="str">
        <f>IF(ISBLANK(Input!D110)=TRUE,"",Input!D110)</f>
        <v/>
      </c>
      <c r="AC28" s="345">
        <f>Input!E110</f>
        <v>0</v>
      </c>
      <c r="AD28" s="345" t="s">
        <v>76</v>
      </c>
      <c r="AE28" s="345">
        <f>Input!F110</f>
        <v>0</v>
      </c>
      <c r="AF28" s="345" t="s">
        <v>568</v>
      </c>
      <c r="AG28" s="346">
        <f>Input!Q$4</f>
        <v>240</v>
      </c>
      <c r="AH28" s="345" t="s">
        <v>415</v>
      </c>
      <c r="AI28" s="345" t="str">
        <f t="shared" ref="AI28:AI36" si="12">IF(AC28=0,"",CONCATENATE(AB28,AD$1,AC28,AD28,AE28,AF28,AG28,AH28))</f>
        <v/>
      </c>
      <c r="AJ28" s="345"/>
      <c r="AK28" s="347" t="str">
        <f>IF(AC28=0,"",IF(OR(Input!J$9=1,Input!H110=1),ROUND((AC28*AE28*AG28),0),ROUND((AC28*AE28*AG28*1.732),0)))</f>
        <v/>
      </c>
    </row>
    <row r="29" spans="2:72">
      <c r="B29" s="340" t="str">
        <f>IF($S$2="STANDARD",'Std Calcs'!B29,'Opt Calcs'!B29)</f>
        <v xml:space="preserve">CENTRAL VAC ( 1 X 12 A X 120 V X 1.00 ) = </v>
      </c>
      <c r="D29" s="400"/>
      <c r="E29" s="342">
        <f>IF($S$2="STANDARD",'Std Calcs'!E29,'Opt Calcs'!E29)</f>
        <v>1440</v>
      </c>
      <c r="G29" s="340" t="str">
        <f>IF($S$2="STANDARD",'Std Calcs'!G29,'Opt Calcs'!G29)</f>
        <v>RANGE DEMAND</v>
      </c>
      <c r="M29" s="340" t="str">
        <f>IF($S$2="STANDARD",'Std Calcs'!M29,'Opt Calcs'!M29)</f>
        <v xml:space="preserve"> </v>
      </c>
      <c r="Q29" s="51" t="s">
        <v>512</v>
      </c>
      <c r="R29" s="334" t="str">
        <f>TEXT(R28,"#,##0")</f>
        <v>37</v>
      </c>
      <c r="S29" s="51" t="s">
        <v>513</v>
      </c>
      <c r="T29" s="51" t="str">
        <f>CONCATENATE(Q29,R29,S29)</f>
        <v>FIRST 200 A @ 100% (37 A X 1.00 ) =</v>
      </c>
      <c r="AA29" s="51">
        <f t="shared" si="3"/>
        <v>27</v>
      </c>
      <c r="AB29" s="343" t="str">
        <f>IF(ISBLANK(Input!D111)=TRUE,"",Input!D111)</f>
        <v/>
      </c>
      <c r="AC29" s="345">
        <f>Input!E111</f>
        <v>0</v>
      </c>
      <c r="AD29" s="345" t="s">
        <v>76</v>
      </c>
      <c r="AE29" s="345">
        <f>Input!F111</f>
        <v>0</v>
      </c>
      <c r="AF29" s="345" t="s">
        <v>568</v>
      </c>
      <c r="AG29" s="346">
        <f>Input!Q$4</f>
        <v>240</v>
      </c>
      <c r="AH29" s="345" t="s">
        <v>415</v>
      </c>
      <c r="AI29" s="345" t="str">
        <f t="shared" si="12"/>
        <v/>
      </c>
      <c r="AJ29" s="345"/>
      <c r="AK29" s="347" t="str">
        <f>IF(AC29=0,"",IF(OR(Input!J$9=1,Input!H111=1),ROUND((AC29*AE29*AG29),0),ROUND((AC29*AE29*AG29*1.732),0)))</f>
        <v/>
      </c>
      <c r="AT29" s="51" t="str">
        <f>IF(AU24=1,"DRYER ( ","DRYERS ( ")</f>
        <v xml:space="preserve">DRYER ( </v>
      </c>
      <c r="AU29" s="339">
        <f>IF(AU26=1,AU24,IF(AND(AU24=1,AU26="3Y"),1,AU27))</f>
        <v>1</v>
      </c>
      <c r="AV29" s="51" t="str">
        <f>IF(AND(AU24=1,AU26=1)," DRYER X ",IF(AND(AU26=1,AU24&gt;1)," DRYER X "," ON ANY 2 PHASES ) = "))</f>
        <v xml:space="preserve"> DRYER X </v>
      </c>
      <c r="AW29" s="51">
        <f>IF(AU26=1,AU25*1000,AU29*AU25*1000)</f>
        <v>5000</v>
      </c>
      <c r="AX29" s="51" t="str">
        <f>IF(AU26=1," VA ) = "," KVA")</f>
        <v xml:space="preserve"> VA ) = </v>
      </c>
      <c r="AY29" s="51">
        <f>IF(AU26=1,AW29*AU29,"")</f>
        <v>5000</v>
      </c>
    </row>
    <row r="30" spans="2:72">
      <c r="B30" s="340" t="str">
        <f>IF($S$2="STANDARD",'Std Calcs'!B30,'Opt Calcs'!B30)</f>
        <v/>
      </c>
      <c r="D30" s="400"/>
      <c r="E30" s="342" t="str">
        <f>IF($S$2="STANDARD",'Std Calcs'!E30,'Opt Calcs'!E30)</f>
        <v/>
      </c>
      <c r="G30" s="340" t="str">
        <f>IF($S$2="STANDARD",'Std Calcs'!G30,'Opt Calcs'!G30)</f>
        <v>TABLE 220.55 COLUMN C</v>
      </c>
      <c r="M30" s="340" t="str">
        <f>IF($S$2="STANDARD",'Std Calcs'!M30,'Opt Calcs'!M30)</f>
        <v xml:space="preserve"> </v>
      </c>
      <c r="AA30" s="51">
        <f t="shared" si="3"/>
        <v>28</v>
      </c>
      <c r="AB30" s="343" t="str">
        <f>IF(ISBLANK(Input!D112)=TRUE,"",Input!D112)</f>
        <v/>
      </c>
      <c r="AC30" s="345">
        <f>Input!E112</f>
        <v>0</v>
      </c>
      <c r="AD30" s="345" t="s">
        <v>76</v>
      </c>
      <c r="AE30" s="345">
        <f>Input!F112</f>
        <v>0</v>
      </c>
      <c r="AF30" s="345" t="s">
        <v>568</v>
      </c>
      <c r="AG30" s="346">
        <f>Input!Q$4</f>
        <v>240</v>
      </c>
      <c r="AH30" s="345" t="s">
        <v>415</v>
      </c>
      <c r="AI30" s="345" t="str">
        <f t="shared" si="12"/>
        <v/>
      </c>
      <c r="AJ30" s="345"/>
      <c r="AK30" s="347" t="str">
        <f>IF(AC30=0,"",IF(OR(Input!J$9=1,Input!H112=1),ROUND((AC30*AE30*AG30),0),ROUND((AC30*AE30*AG30*1.732),0)))</f>
        <v/>
      </c>
      <c r="AT30" s="51" t="str">
        <f>AT29</f>
        <v xml:space="preserve">DRYER ( </v>
      </c>
      <c r="AU30" s="339" t="str">
        <f>TEXT(AU29,"0")</f>
        <v>1</v>
      </c>
      <c r="AV30" s="51" t="str">
        <f>AV29</f>
        <v xml:space="preserve"> DRYER X </v>
      </c>
      <c r="AW30" s="334" t="str">
        <f>TEXT(AW29,"#,##0")</f>
        <v>5,000</v>
      </c>
      <c r="AX30" s="51" t="str">
        <f>AX29</f>
        <v xml:space="preserve"> VA ) = </v>
      </c>
      <c r="BA30" s="51" t="str">
        <f>CONCATENATE(AT30,AU30,AV30,AW30,AX30)</f>
        <v xml:space="preserve">DRYER ( 1 DRYER X 5,000 VA ) = </v>
      </c>
    </row>
    <row r="31" spans="2:72">
      <c r="B31" s="340" t="str">
        <f>IF($S$2="STANDARD",'Std Calcs'!B31,'Opt Calcs'!B31)</f>
        <v/>
      </c>
      <c r="D31" s="400"/>
      <c r="E31" s="342" t="str">
        <f>IF($S$2="STANDARD",'Std Calcs'!E31,'Opt Calcs'!E31)</f>
        <v/>
      </c>
      <c r="G31" s="340" t="str">
        <f>IF($S$2="STANDARD",'Std Calcs'!G31,'Opt Calcs'!G31)</f>
        <v xml:space="preserve">70% OF TABLE 220.55 ( 0 VA X 0.70 ) = </v>
      </c>
      <c r="L31" s="341"/>
      <c r="M31" s="342">
        <f>IF($S$2="STANDARD",'Std Calcs'!M31,'Opt Calcs'!M31)</f>
        <v>0</v>
      </c>
      <c r="Q31" s="51" t="s">
        <v>514</v>
      </c>
      <c r="R31" s="50">
        <f>IF(M41-M44&lt;0,0,IF(M41-M44=0,0,M41-M44))</f>
        <v>0</v>
      </c>
      <c r="S31" s="51" t="s">
        <v>515</v>
      </c>
      <c r="AA31" s="51">
        <f t="shared" si="3"/>
        <v>29</v>
      </c>
      <c r="AB31" s="343" t="str">
        <f>IF(ISBLANK(Input!D113)=TRUE,"",Input!D113)</f>
        <v/>
      </c>
      <c r="AC31" s="345">
        <f>Input!E113</f>
        <v>0</v>
      </c>
      <c r="AD31" s="345" t="s">
        <v>76</v>
      </c>
      <c r="AE31" s="345">
        <f>Input!F113</f>
        <v>0</v>
      </c>
      <c r="AF31" s="345" t="s">
        <v>568</v>
      </c>
      <c r="AG31" s="346">
        <f>Input!Q$4</f>
        <v>240</v>
      </c>
      <c r="AH31" s="345" t="s">
        <v>415</v>
      </c>
      <c r="AI31" s="345" t="str">
        <f t="shared" si="12"/>
        <v/>
      </c>
      <c r="AJ31" s="345"/>
      <c r="AK31" s="347" t="str">
        <f>IF(AC31=0,"",IF(OR(Input!J$9=1,Input!H113=1),ROUND((AC31*AE31*AG31),0),ROUND((AC31*AE31*AG31*1.732),0)))</f>
        <v/>
      </c>
    </row>
    <row r="32" spans="2:72">
      <c r="B32" s="340" t="str">
        <f>IF($S$2="STANDARD",'Std Calcs'!B32,'Opt Calcs'!B32)</f>
        <v/>
      </c>
      <c r="D32" s="400"/>
      <c r="E32" s="342" t="str">
        <f>IF($S$2="STANDARD",'Std Calcs'!E32,'Opt Calcs'!E32)</f>
        <v/>
      </c>
      <c r="G32" s="340" t="str">
        <f>IF($S$2="STANDARD",'Std Calcs'!G32,'Opt Calcs'!G32)</f>
        <v xml:space="preserve"> </v>
      </c>
      <c r="M32" s="340" t="str">
        <f>IF($S$2="STANDARD",'Std Calcs'!M32,'Opt Calcs'!M32)</f>
        <v xml:space="preserve"> </v>
      </c>
      <c r="Q32" s="51" t="s">
        <v>514</v>
      </c>
      <c r="R32" s="334" t="str">
        <f>TEXT(R31,"#,##0")</f>
        <v>0</v>
      </c>
      <c r="S32" s="51" t="s">
        <v>515</v>
      </c>
      <c r="T32" s="51" t="str">
        <f>CONCATENATE(Q32,R32,S32)</f>
        <v>REMAINDER @ 70% ( 0 A X 0.70 ) =</v>
      </c>
      <c r="AA32" s="51">
        <f t="shared" si="3"/>
        <v>30</v>
      </c>
      <c r="AB32" s="343" t="str">
        <f>IF(ISBLANK(Input!D114)=TRUE,"",Input!D114)</f>
        <v/>
      </c>
      <c r="AC32" s="345">
        <f>Input!E114</f>
        <v>0</v>
      </c>
      <c r="AD32" s="345" t="s">
        <v>76</v>
      </c>
      <c r="AE32" s="345">
        <f>Input!F114</f>
        <v>0</v>
      </c>
      <c r="AF32" s="345" t="s">
        <v>568</v>
      </c>
      <c r="AG32" s="346">
        <f>Input!Q$4</f>
        <v>240</v>
      </c>
      <c r="AH32" s="345" t="s">
        <v>415</v>
      </c>
      <c r="AI32" s="345" t="str">
        <f t="shared" si="12"/>
        <v/>
      </c>
      <c r="AJ32" s="345"/>
      <c r="AK32" s="347" t="str">
        <f>IF(AC32=0,"",IF(OR(Input!J$9=1,Input!H114=1),ROUND((AC32*AE32*AG32),0),ROUND((AC32*AE32*AG32*1.732),0)))</f>
        <v/>
      </c>
      <c r="AT32" s="51" t="s">
        <v>487</v>
      </c>
      <c r="AU32" s="51">
        <f>AW29</f>
        <v>5000</v>
      </c>
      <c r="AV32" s="51" t="s">
        <v>497</v>
      </c>
      <c r="AW32" s="51">
        <f>AU32/2</f>
        <v>2500</v>
      </c>
      <c r="AX32" s="51" t="s">
        <v>488</v>
      </c>
    </row>
    <row r="33" spans="2:53">
      <c r="B33" s="340" t="str">
        <f>IF($S$2="STANDARD",'Std Calcs'!B33,'Opt Calcs'!B33)</f>
        <v/>
      </c>
      <c r="D33" s="400"/>
      <c r="E33" s="342" t="str">
        <f>IF($S$2="STANDARD",'Std Calcs'!E33,'Opt Calcs'!E33)</f>
        <v/>
      </c>
      <c r="G33" s="61" t="str">
        <f>IF($S$2="STANDARD",'Std Calcs'!G33,'Opt Calcs'!G33)</f>
        <v>DRYER DEMAND</v>
      </c>
      <c r="H33" s="61"/>
      <c r="I33" s="61"/>
      <c r="J33" s="61"/>
      <c r="K33" s="61"/>
      <c r="M33" s="340" t="str">
        <f>IF($S$2="STANDARD",'Std Calcs'!M33,'Opt Calcs'!M33)</f>
        <v xml:space="preserve"> </v>
      </c>
      <c r="AA33" s="51">
        <f t="shared" si="3"/>
        <v>31</v>
      </c>
      <c r="AB33" s="343" t="str">
        <f>IF(ISBLANK(Input!D115)=TRUE,"",Input!D115)</f>
        <v/>
      </c>
      <c r="AC33" s="345">
        <f>Input!E115</f>
        <v>0</v>
      </c>
      <c r="AD33" s="345" t="s">
        <v>76</v>
      </c>
      <c r="AE33" s="345">
        <f>Input!F115</f>
        <v>0</v>
      </c>
      <c r="AF33" s="345" t="s">
        <v>568</v>
      </c>
      <c r="AG33" s="346">
        <f>Input!Q$4</f>
        <v>240</v>
      </c>
      <c r="AH33" s="345" t="s">
        <v>415</v>
      </c>
      <c r="AI33" s="345" t="str">
        <f t="shared" si="12"/>
        <v/>
      </c>
      <c r="AJ33" s="345"/>
      <c r="AK33" s="347" t="str">
        <f>IF(AC33=0,"",IF(OR(Input!J$9=1,Input!H115=1),ROUND((AC33*AE33*AG33),0),ROUND((AC33*AE33*AG33*1.732),0)))</f>
        <v/>
      </c>
      <c r="AT33" s="51" t="s">
        <v>487</v>
      </c>
      <c r="AU33" s="334" t="str">
        <f>TEXT(AU32,"#,##0")</f>
        <v>5,000</v>
      </c>
      <c r="AV33" s="51" t="s">
        <v>497</v>
      </c>
      <c r="AW33" s="334" t="str">
        <f>TEXT(AW32,"#,##0")</f>
        <v>2,500</v>
      </c>
      <c r="AX33" s="51" t="s">
        <v>488</v>
      </c>
      <c r="BA33" s="51" t="str">
        <f>IF(AU26=1,"",CONCATENATE(AT33,AU33,AV33,AW33,AX33))</f>
        <v/>
      </c>
    </row>
    <row r="34" spans="2:53">
      <c r="B34" s="340" t="str">
        <f>IF($S$2="STANDARD",'Std Calcs'!B34,'Opt Calcs'!B34)</f>
        <v/>
      </c>
      <c r="D34" s="400"/>
      <c r="E34" s="342" t="str">
        <f>IF($S$2="STANDARD",'Std Calcs'!E34,'Opt Calcs'!E34)</f>
        <v/>
      </c>
      <c r="G34" s="64" t="str">
        <f>IF($S$2="STANDARD",'Std Calcs'!G34,'Opt Calcs'!G34)</f>
        <v>TABLE 220.54</v>
      </c>
      <c r="H34" s="64"/>
      <c r="I34" s="64"/>
      <c r="J34" s="64"/>
      <c r="K34" s="64"/>
      <c r="M34" s="340" t="str">
        <f>IF($S$2="STANDARD",'Std Calcs'!M34,'Opt Calcs'!M34)</f>
        <v xml:space="preserve"> </v>
      </c>
      <c r="AA34" s="51">
        <f t="shared" si="3"/>
        <v>32</v>
      </c>
      <c r="AB34" s="343" t="str">
        <f>IF(ISBLANK(Input!D116)=TRUE,"",Input!D116)</f>
        <v/>
      </c>
      <c r="AC34" s="345">
        <f>Input!E116</f>
        <v>0</v>
      </c>
      <c r="AD34" s="345" t="s">
        <v>76</v>
      </c>
      <c r="AE34" s="345">
        <f>Input!F116</f>
        <v>0</v>
      </c>
      <c r="AF34" s="345" t="s">
        <v>568</v>
      </c>
      <c r="AG34" s="346">
        <f>Input!Q$4</f>
        <v>240</v>
      </c>
      <c r="AH34" s="345" t="s">
        <v>415</v>
      </c>
      <c r="AI34" s="345" t="str">
        <f t="shared" si="12"/>
        <v/>
      </c>
      <c r="AJ34" s="345"/>
      <c r="AK34" s="347" t="str">
        <f>IF(AC34=0,"",IF(OR(Input!J$9=1,Input!H116=1),ROUND((AC34*AE34*AG34),0),ROUND((AC34*AE34*AG34*1.732),0)))</f>
        <v/>
      </c>
    </row>
    <row r="35" spans="2:53">
      <c r="B35" s="340" t="str">
        <f>IF($S$2="STANDARD",'Std Calcs'!B35,'Opt Calcs'!B35)</f>
        <v/>
      </c>
      <c r="D35" s="400"/>
      <c r="E35" s="342" t="str">
        <f>IF($S$2="STANDARD",'Std Calcs'!E35,'Opt Calcs'!E35)</f>
        <v/>
      </c>
      <c r="G35" s="340" t="str">
        <f>IF($S$2="STANDARD",'Std Calcs'!G35,'Opt Calcs'!G35)</f>
        <v xml:space="preserve">70% OF TABLE 220.54 ( 5,000 VA 1.00 VA X 0.70 ) = </v>
      </c>
      <c r="L35" s="341"/>
      <c r="M35" s="342">
        <f>IF($S$2="STANDARD",'Std Calcs'!M35,'Opt Calcs'!M35)</f>
        <v>3500</v>
      </c>
      <c r="AA35" s="51">
        <f t="shared" si="3"/>
        <v>33</v>
      </c>
      <c r="AB35" s="343" t="str">
        <f>IF(ISBLANK(Input!D117)=TRUE,"",Input!D117)</f>
        <v/>
      </c>
      <c r="AC35" s="345">
        <f>Input!E117</f>
        <v>0</v>
      </c>
      <c r="AD35" s="345" t="s">
        <v>76</v>
      </c>
      <c r="AE35" s="345">
        <f>Input!F117</f>
        <v>0</v>
      </c>
      <c r="AF35" s="345" t="s">
        <v>568</v>
      </c>
      <c r="AG35" s="346">
        <f>Input!Q$4</f>
        <v>240</v>
      </c>
      <c r="AH35" s="345" t="s">
        <v>415</v>
      </c>
      <c r="AI35" s="345" t="str">
        <f t="shared" si="12"/>
        <v/>
      </c>
      <c r="AJ35" s="345"/>
      <c r="AK35" s="347" t="str">
        <f>IF(AC35=0,"",IF(OR(Input!J$9=1,Input!H117=1),ROUND((AC35*AE35*AG35),0),ROUND((AC35*AE35*AG35*1.732),0)))</f>
        <v/>
      </c>
      <c r="AT35" s="51" t="s">
        <v>489</v>
      </c>
      <c r="AU35" s="51">
        <f>AW32</f>
        <v>2500</v>
      </c>
      <c r="AV35" s="51" t="s">
        <v>498</v>
      </c>
      <c r="AX35" s="51" t="str">
        <f>IF(AU26=1,"",AU35*3)</f>
        <v/>
      </c>
    </row>
    <row r="36" spans="2:53">
      <c r="B36" s="340" t="str">
        <f>IF($S$2="STANDARD",'Std Calcs'!B36,'Opt Calcs'!B36)</f>
        <v/>
      </c>
      <c r="D36" s="400"/>
      <c r="E36" s="342" t="str">
        <f>IF($S$2="STANDARD",'Std Calcs'!E36,'Opt Calcs'!E36)</f>
        <v/>
      </c>
      <c r="G36" s="340" t="str">
        <f>IF($S$2="STANDARD",'Std Calcs'!G36,'Opt Calcs'!G36)</f>
        <v xml:space="preserve"> </v>
      </c>
      <c r="M36" s="340" t="str">
        <f>IF($S$2="STANDARD",'Std Calcs'!M36,'Opt Calcs'!M36)</f>
        <v xml:space="preserve"> </v>
      </c>
      <c r="AA36" s="51">
        <f t="shared" si="3"/>
        <v>34</v>
      </c>
      <c r="AB36" s="350" t="str">
        <f>IF(ISBLANK(Input!D118)=TRUE,"",Input!D118)</f>
        <v/>
      </c>
      <c r="AC36" s="351">
        <f>Input!E118</f>
        <v>0</v>
      </c>
      <c r="AD36" s="351" t="s">
        <v>76</v>
      </c>
      <c r="AE36" s="351">
        <f>Input!F118</f>
        <v>0</v>
      </c>
      <c r="AF36" s="351" t="s">
        <v>568</v>
      </c>
      <c r="AG36" s="352">
        <f>Input!Q$4</f>
        <v>240</v>
      </c>
      <c r="AH36" s="351" t="s">
        <v>415</v>
      </c>
      <c r="AI36" s="351" t="str">
        <f t="shared" si="12"/>
        <v/>
      </c>
      <c r="AJ36" s="351"/>
      <c r="AK36" s="353" t="str">
        <f>IF(AC36=0,"",IF(OR(Input!J$9=1,Input!H118=1),ROUND((AC36*AE36*AG36),0),ROUND((AC36*AE36*AG36*1.732),0)))</f>
        <v/>
      </c>
      <c r="AT36" s="51" t="s">
        <v>489</v>
      </c>
      <c r="AU36" s="334" t="str">
        <f>TEXT(AU35,"#,##0")</f>
        <v>2,500</v>
      </c>
      <c r="AV36" s="51" t="s">
        <v>498</v>
      </c>
      <c r="BA36" s="51" t="str">
        <f>IF(AU26=1,"",CONCATENATE(AT36,AU36,AV36,AW36,AX36))</f>
        <v/>
      </c>
    </row>
    <row r="37" spans="2:53">
      <c r="B37" s="340" t="str">
        <f>IF($S$2="STANDARD",'Std Calcs'!B37,'Opt Calcs'!B37)</f>
        <v/>
      </c>
      <c r="D37" s="400"/>
      <c r="E37" s="342" t="str">
        <f>IF($S$2="STANDARD",'Std Calcs'!E37,'Opt Calcs'!E37)</f>
        <v/>
      </c>
      <c r="G37" s="340" t="str">
        <f>IF($S$2="STANDARD",'Std Calcs'!G37,'Opt Calcs'!G37)</f>
        <v>UNBALANCED MISC LOADS</v>
      </c>
      <c r="M37" s="342">
        <f>IF($S$2="STANDARD",'Std Calcs'!M37,'Opt Calcs'!M37)</f>
        <v>2280</v>
      </c>
    </row>
    <row r="38" spans="2:53">
      <c r="B38" s="340" t="str">
        <f>IF($S$2="STANDARD",'Std Calcs'!B38,'Opt Calcs'!B38)</f>
        <v/>
      </c>
      <c r="D38" s="400"/>
      <c r="E38" s="342" t="str">
        <f>IF($S$2="STANDARD",'Std Calcs'!E38,'Opt Calcs'!E38)</f>
        <v/>
      </c>
      <c r="G38" s="340" t="str">
        <f>IF($S$2="STANDARD",'Std Calcs'!G38,'Opt Calcs'!G38)</f>
        <v xml:space="preserve"> </v>
      </c>
      <c r="M38" s="340" t="str">
        <f>IF($S$2="STANDARD",'Std Calcs'!M38,'Opt Calcs'!M38)</f>
        <v xml:space="preserve"> </v>
      </c>
    </row>
    <row r="39" spans="2:53">
      <c r="B39" s="340" t="str">
        <f>IF($S$2="STANDARD",'Std Calcs'!B39,'Opt Calcs'!B39)</f>
        <v xml:space="preserve"> </v>
      </c>
      <c r="D39" s="400"/>
      <c r="E39" s="340" t="str">
        <f>IF($S$2="STANDARD",'Std Calcs'!E39,'Opt Calcs'!E39)</f>
        <v xml:space="preserve"> </v>
      </c>
      <c r="G39" s="340" t="str">
        <f>IF($S$2="STANDARD",'Std Calcs'!G39,'Opt Calcs'!G39)</f>
        <v>NEUTRAL LOAD VA</v>
      </c>
      <c r="M39" s="399">
        <f>IF($S$2="STANDARD",'Std Calcs'!M39,'Opt Calcs'!M39)</f>
        <v>8885</v>
      </c>
    </row>
    <row r="40" spans="2:53">
      <c r="B40" s="396" t="str">
        <f>IF($S$2="STANDARD",'Std Calcs'!B40,'Opt Calcs'!B40)</f>
        <v>MISC LOADS NEC 220.82(B)(4)</v>
      </c>
      <c r="E40" s="340" t="str">
        <f>IF($S$2="STANDARD",'Std Calcs'!E40,'Opt Calcs'!E40)</f>
        <v xml:space="preserve"> </v>
      </c>
      <c r="G40" s="340" t="str">
        <f>IF($S$2="STANDARD",'Std Calcs'!G40,'Opt Calcs'!G40)</f>
        <v xml:space="preserve"> </v>
      </c>
      <c r="M40" s="340" t="str">
        <f>IF($S$2="STANDARD",'Std Calcs'!M40,'Opt Calcs'!M40)</f>
        <v xml:space="preserve"> </v>
      </c>
    </row>
    <row r="41" spans="2:53">
      <c r="B41" s="340" t="str">
        <f>IF($S$2="STANDARD",'Std Calcs'!B41,'Opt Calcs'!B41)</f>
        <v xml:space="preserve">MIRCOWAVE ( 2 X 9.5 A X 120 V ) = </v>
      </c>
      <c r="D41" s="341"/>
      <c r="E41" s="342">
        <f>IF($S$2="STANDARD",'Std Calcs'!E41,'Opt Calcs'!E41)</f>
        <v>2280</v>
      </c>
      <c r="G41" s="340" t="str">
        <f>IF($S$2="STANDARD",'Std Calcs'!G41,'Opt Calcs'!G41)</f>
        <v xml:space="preserve">NEUTRAL LOAD ( 8,885 VA ÷ 240 V ) = </v>
      </c>
      <c r="L41" s="341"/>
      <c r="M41" s="401">
        <f>IF($S$2="STANDARD",'Std Calcs'!M41,'Opt Calcs'!M41)</f>
        <v>37</v>
      </c>
    </row>
    <row r="42" spans="2:53">
      <c r="B42" s="340" t="str">
        <f>IF($S$2="STANDARD",'Std Calcs'!B42,'Opt Calcs'!B42)</f>
        <v xml:space="preserve">CENTRAL VAC ( 1 X 12 A X 120 V ) = </v>
      </c>
      <c r="D42" s="341"/>
      <c r="E42" s="342">
        <f>IF($S$2="STANDARD",'Std Calcs'!E42,'Opt Calcs'!E42)</f>
        <v>1440</v>
      </c>
      <c r="G42" s="340" t="str">
        <f>IF($S$2="STANDARD",'Std Calcs'!G42,'Opt Calcs'!G42)</f>
        <v xml:space="preserve"> </v>
      </c>
      <c r="M42" s="340" t="str">
        <f>IF($S$2="STANDARD",'Std Calcs'!M42,'Opt Calcs'!M42)</f>
        <v xml:space="preserve"> </v>
      </c>
      <c r="O42" s="50"/>
      <c r="W42" s="51" t="s">
        <v>219</v>
      </c>
      <c r="X42" s="51" t="str">
        <f>Conduit!G54</f>
        <v>#1/0</v>
      </c>
    </row>
    <row r="43" spans="2:53">
      <c r="B43" s="340" t="str">
        <f>IF($S$2="STANDARD",'Std Calcs'!B43,'Opt Calcs'!B43)</f>
        <v/>
      </c>
      <c r="D43" s="341"/>
      <c r="E43" s="342" t="str">
        <f>IF($S$2="STANDARD",'Std Calcs'!E43,'Opt Calcs'!E43)</f>
        <v/>
      </c>
      <c r="G43" s="340" t="str">
        <f>IF($S$2="STANDARD",'Std Calcs'!G43,'Opt Calcs'!G43)</f>
        <v>FURTHER DEMAND FACTOR - NEC 220.61(B)(2)</v>
      </c>
      <c r="M43" s="340" t="str">
        <f>IF($S$2="STANDARD",'Std Calcs'!M43,'Opt Calcs'!M43)</f>
        <v xml:space="preserve"> </v>
      </c>
      <c r="O43" s="334"/>
      <c r="W43" s="51" t="s">
        <v>522</v>
      </c>
      <c r="X43" s="51" t="str">
        <f>'S-Sec Cable'!J18</f>
        <v>ERROR</v>
      </c>
    </row>
    <row r="44" spans="2:53">
      <c r="B44" s="340" t="str">
        <f>IF($S$2="STANDARD",'Std Calcs'!B44,'Opt Calcs'!B44)</f>
        <v/>
      </c>
      <c r="D44" s="341"/>
      <c r="E44" s="342" t="str">
        <f>IF($S$2="STANDARD",'Std Calcs'!E44,'Opt Calcs'!E44)</f>
        <v/>
      </c>
      <c r="G44" s="340" t="str">
        <f>IF($S$2="STANDARD",'Std Calcs'!G44,'Opt Calcs'!G44)</f>
        <v>FIRST 200 A @ 100% (37 A X 1.00 ) =</v>
      </c>
      <c r="M44" s="401">
        <f>IF($S$2="STANDARD",'Std Calcs'!M44,'Opt Calcs'!M44)</f>
        <v>37</v>
      </c>
      <c r="P44" s="51" t="s">
        <v>282</v>
      </c>
      <c r="Q44" s="51" t="str">
        <f>Input!E16</f>
        <v>CONDUIT</v>
      </c>
    </row>
    <row r="45" spans="2:53">
      <c r="B45" s="340" t="str">
        <f>IF($S$2="STANDARD",'Std Calcs'!B45,'Opt Calcs'!B45)</f>
        <v/>
      </c>
      <c r="D45" s="341"/>
      <c r="E45" s="342" t="str">
        <f>IF($S$2="STANDARD",'Std Calcs'!E45,'Opt Calcs'!E45)</f>
        <v/>
      </c>
      <c r="G45" s="340" t="str">
        <f>IF($S$2="STANDARD",'Std Calcs'!G45,'Opt Calcs'!G45)</f>
        <v>REMAINDER @ 70% ( 0 A X 0.70 ) =</v>
      </c>
      <c r="M45" s="401">
        <f>IF($S$2="STANDARD",'Std Calcs'!M45,'Opt Calcs'!M45)</f>
        <v>0</v>
      </c>
      <c r="O45" s="50"/>
      <c r="Q45" s="51" t="s">
        <v>529</v>
      </c>
      <c r="X45" s="51" t="str">
        <f>IF(Input!E16&lt;&gt;"CONDUIT",X43,X42)</f>
        <v>#1/0</v>
      </c>
      <c r="AB45" s="302" t="s">
        <v>150</v>
      </c>
      <c r="AC45" s="302" t="s">
        <v>150</v>
      </c>
      <c r="AD45" s="303" t="s">
        <v>530</v>
      </c>
    </row>
    <row r="46" spans="2:53">
      <c r="B46" s="340" t="str">
        <f>IF($S$2="STANDARD",'Std Calcs'!B46,'Opt Calcs'!B46)</f>
        <v/>
      </c>
      <c r="D46" s="341"/>
      <c r="E46" s="342" t="str">
        <f>IF($S$2="STANDARD",'Std Calcs'!E46,'Opt Calcs'!E46)</f>
        <v/>
      </c>
      <c r="G46" s="340" t="str">
        <f>IF($S$2="STANDARD",'Std Calcs'!G46,'Opt Calcs'!G46)</f>
        <v xml:space="preserve"> </v>
      </c>
      <c r="M46" s="340" t="str">
        <f>IF($S$2="STANDARD",'Std Calcs'!M46,'Opt Calcs'!M46)</f>
        <v xml:space="preserve"> </v>
      </c>
      <c r="O46" s="334"/>
      <c r="Q46" s="51" t="s">
        <v>66</v>
      </c>
      <c r="AB46" s="304" t="s">
        <v>133</v>
      </c>
      <c r="AC46" s="304" t="s">
        <v>133</v>
      </c>
      <c r="AD46" s="305" t="s">
        <v>128</v>
      </c>
    </row>
    <row r="47" spans="2:53">
      <c r="B47" s="340" t="str">
        <f>IF($S$2="STANDARD",'Std Calcs'!B47,'Opt Calcs'!B47)</f>
        <v/>
      </c>
      <c r="D47" s="341"/>
      <c r="E47" s="342" t="str">
        <f>IF($S$2="STANDARD",'Std Calcs'!E47,'Opt Calcs'!E47)</f>
        <v/>
      </c>
      <c r="G47" s="340" t="str">
        <f>IF($S$2="STANDARD",'Std Calcs'!G47,'Opt Calcs'!G47)</f>
        <v>MINIMUM NEUTRAL CONDUCTOR AMPACITY</v>
      </c>
      <c r="M47" s="402">
        <f>IF($S$2="STANDARD",'Std Calcs'!M47,'Opt Calcs'!M47)</f>
        <v>37</v>
      </c>
      <c r="P47" s="51" t="s">
        <v>133</v>
      </c>
      <c r="Q47" s="51">
        <f>Input!E13</f>
        <v>0</v>
      </c>
      <c r="X47" s="51">
        <f>MATCH(X45,AB48:AB65,0)</f>
        <v>6</v>
      </c>
      <c r="AB47" s="304" t="s">
        <v>156</v>
      </c>
      <c r="AC47" s="304" t="s">
        <v>157</v>
      </c>
      <c r="AD47" s="305"/>
    </row>
    <row r="48" spans="2:53">
      <c r="B48" s="340" t="str">
        <f>IF($S$2="STANDARD",'Std Calcs'!B48,'Opt Calcs'!B48)</f>
        <v/>
      </c>
      <c r="D48" s="341"/>
      <c r="E48" s="342" t="str">
        <f>IF($S$2="STANDARD",'Std Calcs'!E48,'Opt Calcs'!E48)</f>
        <v/>
      </c>
      <c r="G48" s="340" t="str">
        <f>IF($S$2="STANDARD",'Std Calcs'!G48,'Opt Calcs'!G48)</f>
        <v xml:space="preserve"> </v>
      </c>
      <c r="P48" s="51" t="s">
        <v>125</v>
      </c>
      <c r="Q48" s="51">
        <f>Input!E14</f>
        <v>0</v>
      </c>
      <c r="S48" s="51" t="str">
        <f>CONCATENATE(Q47,Q46,Q48,Q45)</f>
        <v>0 0 --</v>
      </c>
      <c r="V48" s="49"/>
      <c r="X48" s="51" t="s">
        <v>535</v>
      </c>
      <c r="AA48" s="51">
        <v>1</v>
      </c>
      <c r="AB48" s="302" t="s">
        <v>158</v>
      </c>
      <c r="AC48" s="302">
        <v>5</v>
      </c>
      <c r="AD48" s="303" t="s">
        <v>217</v>
      </c>
    </row>
    <row r="49" spans="2:30">
      <c r="B49" s="340" t="str">
        <f>IF($S$2="STANDARD",'Std Calcs'!B49,'Opt Calcs'!B49)</f>
        <v/>
      </c>
      <c r="D49" s="341"/>
      <c r="E49" s="342" t="str">
        <f>IF($S$2="STANDARD",'Std Calcs'!E49,'Opt Calcs'!E49)</f>
        <v/>
      </c>
      <c r="G49" s="340" t="str">
        <f>IF($S$2="STANDARD",'Std Calcs'!G49,'Opt Calcs'!G49)</f>
        <v xml:space="preserve"> </v>
      </c>
      <c r="P49" s="51" t="s">
        <v>526</v>
      </c>
      <c r="Q49" s="51">
        <f>IF(Input!E9="NO","YES",99)</f>
        <v>99</v>
      </c>
      <c r="S49" s="51" t="str">
        <f>CONCATENATE(Q45,Q46,Q47,Q46,Q48,)</f>
        <v xml:space="preserve"> -- 0 0</v>
      </c>
      <c r="V49" s="49"/>
      <c r="X49" s="51" t="str">
        <f>VLOOKUP(X47,AA48:AD65,4)</f>
        <v>#6</v>
      </c>
      <c r="AA49" s="51">
        <v>2</v>
      </c>
      <c r="AB49" s="304" t="s">
        <v>161</v>
      </c>
      <c r="AC49" s="304">
        <v>6</v>
      </c>
      <c r="AD49" s="305" t="s">
        <v>217</v>
      </c>
    </row>
    <row r="50" spans="2:30">
      <c r="B50" s="340" t="str">
        <f>IF($S$2="STANDARD",'Std Calcs'!B50,'Opt Calcs'!B50)</f>
        <v/>
      </c>
      <c r="D50" s="341"/>
      <c r="E50" s="342" t="str">
        <f>IF($S$2="STANDARD",'Std Calcs'!E50,'Opt Calcs'!E50)</f>
        <v/>
      </c>
      <c r="G50" s="396" t="str">
        <f>IF($S$2="STANDARD",'Std Calcs'!G50,'Opt Calcs'!G50)</f>
        <v>VOLTAGE DROP CALCULATIONS</v>
      </c>
      <c r="H50" s="396"/>
      <c r="I50" s="396"/>
      <c r="J50" s="396"/>
      <c r="K50" s="396"/>
      <c r="X50" s="51" t="s">
        <v>66</v>
      </c>
      <c r="AA50" s="51">
        <v>3</v>
      </c>
      <c r="AB50" s="304" t="s">
        <v>163</v>
      </c>
      <c r="AC50" s="304">
        <v>6</v>
      </c>
      <c r="AD50" s="305" t="s">
        <v>217</v>
      </c>
    </row>
    <row r="51" spans="2:30">
      <c r="B51" s="340" t="str">
        <f>IF($S$2="STANDARD",'Std Calcs'!B51,'Opt Calcs'!B51)</f>
        <v/>
      </c>
      <c r="D51" s="341"/>
      <c r="E51" s="342" t="str">
        <f>IF($S$2="STANDARD",'Std Calcs'!E51,'Opt Calcs'!E51)</f>
        <v/>
      </c>
      <c r="G51" s="340" t="str">
        <f>IF($S$2="STANDARD",'Std Calcs'!G51,'Opt Calcs'!G51)</f>
        <v>( 2 X 25' L X 0.2010 R X 114.0 A ÷ 1,000 )  = 1.1 VD</v>
      </c>
      <c r="L51" s="403"/>
      <c r="Q51" s="51">
        <f>Input!E10</f>
        <v>0</v>
      </c>
      <c r="X51" s="51" t="s">
        <v>534</v>
      </c>
      <c r="AA51" s="51">
        <v>4</v>
      </c>
      <c r="AB51" s="304" t="s">
        <v>162</v>
      </c>
      <c r="AC51" s="304">
        <v>8</v>
      </c>
      <c r="AD51" s="305" t="s">
        <v>217</v>
      </c>
    </row>
    <row r="52" spans="2:30">
      <c r="B52" s="340" t="str">
        <f>IF($S$2="STANDARD",'Std Calcs'!B52,'Opt Calcs'!B52)</f>
        <v/>
      </c>
      <c r="D52" s="341"/>
      <c r="E52" s="342" t="str">
        <f>IF($S$2="STANDARD",'Std Calcs'!E52,'Opt Calcs'!E52)</f>
        <v/>
      </c>
      <c r="G52" s="340" t="str">
        <f>IF($S$2="STANDARD",'Std Calcs'!G52,'Opt Calcs'!G52)</f>
        <v>( 1.1 VD ÷ 240 V X 100 ) = 0.5 % VD</v>
      </c>
      <c r="P52" s="51" t="str">
        <f>Export!F4</f>
        <v>60A-2P</v>
      </c>
      <c r="Q52" s="51">
        <f>Input!E11</f>
        <v>0</v>
      </c>
      <c r="AA52" s="51">
        <v>5</v>
      </c>
      <c r="AB52" s="304" t="s">
        <v>164</v>
      </c>
      <c r="AC52" s="304">
        <v>9</v>
      </c>
      <c r="AD52" s="305" t="s">
        <v>158</v>
      </c>
    </row>
    <row r="53" spans="2:30">
      <c r="B53" s="340" t="str">
        <f>IF($S$2="STANDARD",'Std Calcs'!B53,'Opt Calcs'!B53)</f>
        <v/>
      </c>
      <c r="D53" s="341"/>
      <c r="E53" s="342" t="str">
        <f>IF($S$2="STANDARD",'Std Calcs'!E53,'Opt Calcs'!E53)</f>
        <v/>
      </c>
      <c r="G53" s="340" t="str">
        <f>IF($S$2="STANDARD",'Std Calcs'!G53,'Opt Calcs'!G53)</f>
        <v xml:space="preserve"> </v>
      </c>
      <c r="Q53" s="51">
        <f>Input!E12</f>
        <v>0</v>
      </c>
      <c r="X53" s="51" t="str">
        <f>CONCATENATE(X48,X49,X50,X51)</f>
        <v xml:space="preserve"> ---------------------------  #6 UFER GND</v>
      </c>
      <c r="AA53" s="51">
        <v>6</v>
      </c>
      <c r="AB53" s="304" t="s">
        <v>165</v>
      </c>
      <c r="AC53" s="304">
        <v>10</v>
      </c>
      <c r="AD53" s="305" t="s">
        <v>158</v>
      </c>
    </row>
    <row r="54" spans="2:30">
      <c r="B54" s="340" t="str">
        <f>IF($S$2="STANDARD",'Std Calcs'!B54,'Opt Calcs'!B54)</f>
        <v/>
      </c>
      <c r="D54" s="341"/>
      <c r="E54" s="342" t="str">
        <f>IF($S$2="STANDARD",'Std Calcs'!E54,'Opt Calcs'!E54)</f>
        <v/>
      </c>
      <c r="G54" s="396" t="str">
        <f>IF($S$2="STANDARD",'Std Calcs'!G54,'Opt Calcs'!G54)</f>
        <v>FAULT CURRENT CALCULATIONS</v>
      </c>
      <c r="H54" s="396"/>
      <c r="I54" s="396"/>
      <c r="J54" s="396"/>
      <c r="K54" s="396"/>
      <c r="AA54" s="51">
        <v>7</v>
      </c>
      <c r="AB54" s="304" t="s">
        <v>166</v>
      </c>
      <c r="AC54" s="304">
        <v>11</v>
      </c>
      <c r="AD54" s="305" t="s">
        <v>158</v>
      </c>
    </row>
    <row r="55" spans="2:30">
      <c r="B55" s="340" t="str">
        <f>IF($S$2="STANDARD",'Std Calcs'!B55,'Opt Calcs'!B55)</f>
        <v/>
      </c>
      <c r="D55" s="341"/>
      <c r="E55" s="342" t="str">
        <f>IF($S$2="STANDARD",'Std Calcs'!E55,'Opt Calcs'!E55)</f>
        <v/>
      </c>
      <c r="G55" s="340" t="str">
        <f>IF($S$2="STANDARD",'Std Calcs'!G55,'Opt Calcs'!G55)</f>
        <v>(( 15,818 AFC X 1.00 UA ) + 0 MC ) = 15,818 AFC</v>
      </c>
      <c r="P55" s="323" t="s">
        <v>283</v>
      </c>
      <c r="AA55" s="51">
        <v>8</v>
      </c>
      <c r="AB55" s="304" t="s">
        <v>169</v>
      </c>
      <c r="AC55" s="304">
        <v>12</v>
      </c>
      <c r="AD55" s="305" t="s">
        <v>161</v>
      </c>
    </row>
    <row r="56" spans="2:30">
      <c r="B56" s="340" t="str">
        <f>IF($S$2="STANDARD",'Std Calcs'!B56,'Opt Calcs'!B56)</f>
        <v/>
      </c>
      <c r="D56" s="341"/>
      <c r="E56" s="342" t="str">
        <f>IF($S$2="STANDARD",'Std Calcs'!E56,'Opt Calcs'!E56)</f>
        <v/>
      </c>
      <c r="G56" s="340" t="str">
        <f>IF($S$2="STANDARD",'Std Calcs'!G56,'Opt Calcs'!G56)</f>
        <v>( 2 X 25 L X 15,818 AFC  ) ÷ ( 2,353 C X 1 N X 240 V ) = 1.401 CF</v>
      </c>
      <c r="O56" s="357" t="s">
        <v>525</v>
      </c>
      <c r="P56" s="49" t="str">
        <f>Export!H4</f>
        <v xml:space="preserve"> 25'</v>
      </c>
      <c r="R56" s="51" t="str">
        <f t="shared" ref="R56:R61" si="13">CONCATENATE(O56,P56,Q56)</f>
        <v>--- 25'</v>
      </c>
      <c r="AA56" s="51">
        <v>9</v>
      </c>
      <c r="AB56" s="305" t="s">
        <v>169</v>
      </c>
      <c r="AC56" s="304">
        <v>12</v>
      </c>
      <c r="AD56" s="305" t="s">
        <v>161</v>
      </c>
    </row>
    <row r="57" spans="2:30">
      <c r="B57" s="340" t="str">
        <f>IF($S$2="STANDARD",'Std Calcs'!B57,'Opt Calcs'!B57)</f>
        <v/>
      </c>
      <c r="D57" s="341"/>
      <c r="E57" s="342" t="str">
        <f>IF($S$2="STANDARD",'Std Calcs'!E57,'Opt Calcs'!E57)</f>
        <v/>
      </c>
      <c r="G57" s="340" t="str">
        <f>IF($S$2="STANDARD",'Std Calcs'!G57,'Opt Calcs'!G57)</f>
        <v xml:space="preserve">( 1 ) ÷ ( 1 + 1.401 CF ) = 0.416 CM </v>
      </c>
      <c r="O57" s="357" t="s">
        <v>525</v>
      </c>
      <c r="P57" s="51" t="str">
        <f>Export!I4</f>
        <v xml:space="preserve"> 1- SER CABLE</v>
      </c>
      <c r="Q57" s="51" t="s">
        <v>66</v>
      </c>
      <c r="R57" s="51" t="str">
        <f t="shared" si="13"/>
        <v xml:space="preserve">--- 1- SER CABLE </v>
      </c>
      <c r="T57" s="51" t="str">
        <f>CONCATENATE(P57,Q57,O57)</f>
        <v xml:space="preserve"> 1- SER CABLE ---</v>
      </c>
      <c r="AA57" s="51">
        <v>10</v>
      </c>
      <c r="AB57" s="305" t="s">
        <v>170</v>
      </c>
      <c r="AC57" s="304">
        <v>12</v>
      </c>
      <c r="AD57" s="305" t="s">
        <v>161</v>
      </c>
    </row>
    <row r="58" spans="2:30">
      <c r="B58" s="340" t="str">
        <f>IF($S$2="STANDARD",'Std Calcs'!B58,'Opt Calcs'!B58)</f>
        <v/>
      </c>
      <c r="D58" s="341"/>
      <c r="E58" s="342" t="str">
        <f>IF($S$2="STANDARD",'Std Calcs'!E58,'Opt Calcs'!E58)</f>
        <v/>
      </c>
      <c r="G58" s="340" t="str">
        <f>IF($S$2="STANDARD",'Std Calcs'!G58,'Opt Calcs'!G58)</f>
        <v>( 15,818 AFC X 0.416 CM ) = 6,580 CLC</v>
      </c>
      <c r="O58" s="51" t="s">
        <v>397</v>
      </c>
      <c r="P58" s="335" t="str">
        <f>Export!J4</f>
        <v xml:space="preserve"> 3-#4 AL  </v>
      </c>
      <c r="R58" s="51" t="str">
        <f t="shared" si="13"/>
        <v xml:space="preserve">     3-#4 AL  </v>
      </c>
      <c r="AA58" s="51">
        <v>11</v>
      </c>
      <c r="AB58" s="305" t="s">
        <v>172</v>
      </c>
      <c r="AC58" s="304">
        <v>12</v>
      </c>
      <c r="AD58" s="305" t="s">
        <v>161</v>
      </c>
    </row>
    <row r="59" spans="2:30">
      <c r="B59" s="340" t="str">
        <f>IF($S$2="STANDARD",'Std Calcs'!B59,'Opt Calcs'!B59)</f>
        <v/>
      </c>
      <c r="D59" s="341"/>
      <c r="E59" s="342" t="str">
        <f>IF($S$2="STANDARD",'Std Calcs'!E59,'Opt Calcs'!E59)</f>
        <v/>
      </c>
      <c r="O59" s="51" t="s">
        <v>397</v>
      </c>
      <c r="P59" s="51" t="str">
        <f>Export!K4</f>
        <v xml:space="preserve"> 1-#6 GND</v>
      </c>
      <c r="R59" s="51" t="str">
        <f t="shared" si="13"/>
        <v xml:space="preserve">     1-#6 GND</v>
      </c>
      <c r="AA59" s="51">
        <v>12</v>
      </c>
      <c r="AB59" s="305" t="s">
        <v>173</v>
      </c>
      <c r="AC59" s="304">
        <v>12</v>
      </c>
      <c r="AD59" s="305" t="s">
        <v>161</v>
      </c>
    </row>
    <row r="60" spans="2:30">
      <c r="B60" s="340" t="str">
        <f>IF($S$2="STANDARD",'Std Calcs'!B60,'Opt Calcs'!B60)</f>
        <v/>
      </c>
      <c r="D60" s="341"/>
      <c r="E60" s="342" t="str">
        <f>IF($S$2="STANDARD",'Std Calcs'!E60,'Opt Calcs'!E60)</f>
        <v/>
      </c>
      <c r="G60" s="51"/>
      <c r="H60" s="51"/>
      <c r="I60" s="51"/>
      <c r="J60" s="51"/>
      <c r="K60" s="51"/>
      <c r="L60" s="51"/>
      <c r="M60" s="51"/>
      <c r="N60" s="51"/>
      <c r="O60" s="51" t="s">
        <v>397</v>
      </c>
      <c r="P60" s="51" t="str">
        <f>Export!L4</f>
        <v xml:space="preserve"> </v>
      </c>
      <c r="R60" s="51" t="str">
        <f t="shared" si="13"/>
        <v xml:space="preserve">     </v>
      </c>
      <c r="AA60" s="51">
        <v>13</v>
      </c>
      <c r="AB60" s="305" t="s">
        <v>175</v>
      </c>
      <c r="AC60" s="304">
        <v>12</v>
      </c>
      <c r="AD60" s="305" t="s">
        <v>161</v>
      </c>
    </row>
    <row r="61" spans="2:30">
      <c r="B61" s="340" t="str">
        <f>IF($S$2="STANDARD",'Std Calcs'!B61,'Opt Calcs'!B61)</f>
        <v/>
      </c>
      <c r="D61" s="341"/>
      <c r="E61" s="342" t="str">
        <f>IF($S$2="STANDARD",'Std Calcs'!E61,'Opt Calcs'!E61)</f>
        <v/>
      </c>
      <c r="G61" s="51"/>
      <c r="H61" s="51" t="str">
        <f>IF($S$2="STANDARD",'Std Calcs'!H61,'Opt Calcs'!H61)</f>
        <v>KEY</v>
      </c>
      <c r="I61" s="51"/>
      <c r="J61" s="51"/>
      <c r="K61" s="51"/>
      <c r="L61" s="51"/>
      <c r="M61" s="51"/>
      <c r="N61" s="51"/>
      <c r="O61" s="51" t="s">
        <v>397</v>
      </c>
      <c r="P61" s="51" t="str">
        <f>Export!M4</f>
        <v xml:space="preserve"> </v>
      </c>
      <c r="R61" s="51" t="str">
        <f t="shared" si="13"/>
        <v xml:space="preserve">     </v>
      </c>
      <c r="AA61" s="51">
        <v>14</v>
      </c>
      <c r="AB61" s="305" t="s">
        <v>176</v>
      </c>
      <c r="AC61" s="304">
        <v>12</v>
      </c>
      <c r="AD61" s="305" t="s">
        <v>161</v>
      </c>
    </row>
    <row r="62" spans="2:30">
      <c r="B62" s="340" t="str">
        <f>IF($S$2="STANDARD",'Std Calcs'!B62,'Opt Calcs'!B62)</f>
        <v/>
      </c>
      <c r="D62" s="341"/>
      <c r="E62" s="342" t="str">
        <f>IF($S$2="STANDARD",'Std Calcs'!E62,'Opt Calcs'!E62)</f>
        <v/>
      </c>
      <c r="G62" s="51"/>
      <c r="H62" s="51" t="str">
        <f>IF($S$2="STANDARD",'Std Calcs'!H62,'Opt Calcs'!H62)</f>
        <v>A - Amps</v>
      </c>
      <c r="I62" s="51"/>
      <c r="J62" s="51"/>
      <c r="K62" s="51"/>
      <c r="L62" s="51"/>
      <c r="M62" s="51"/>
      <c r="N62" s="51"/>
      <c r="O62" s="51" t="s">
        <v>397</v>
      </c>
      <c r="AA62" s="51">
        <v>15</v>
      </c>
      <c r="AB62" s="305" t="s">
        <v>177</v>
      </c>
      <c r="AC62" s="305">
        <v>12</v>
      </c>
      <c r="AD62" s="305" t="s">
        <v>161</v>
      </c>
    </row>
    <row r="63" spans="2:30">
      <c r="B63" s="340" t="str">
        <f>IF($S$2="STANDARD",'Std Calcs'!B63,'Opt Calcs'!B63)</f>
        <v/>
      </c>
      <c r="D63" s="341"/>
      <c r="E63" s="342" t="str">
        <f>IF($S$2="STANDARD",'Std Calcs'!E63,'Opt Calcs'!E63)</f>
        <v/>
      </c>
      <c r="G63" s="51"/>
      <c r="H63" s="51" t="str">
        <f>IF($S$2="STANDARD",'Std Calcs'!H63,'Opt Calcs'!H63)</f>
        <v>AFC - Available Fault Current</v>
      </c>
      <c r="I63" s="51"/>
      <c r="J63" s="51"/>
      <c r="K63" s="51"/>
      <c r="L63" s="51"/>
      <c r="M63" s="51"/>
      <c r="N63" s="51"/>
      <c r="O63" s="51" t="s">
        <v>397</v>
      </c>
      <c r="AA63" s="51">
        <v>16</v>
      </c>
      <c r="AB63" s="305" t="s">
        <v>531</v>
      </c>
      <c r="AC63" s="305">
        <v>12</v>
      </c>
      <c r="AD63" s="305" t="s">
        <v>161</v>
      </c>
    </row>
    <row r="64" spans="2:30">
      <c r="B64" s="340" t="str">
        <f>IF($S$2="STANDARD",'Std Calcs'!B64,'Opt Calcs'!B64)</f>
        <v/>
      </c>
      <c r="D64" s="341"/>
      <c r="E64" s="342" t="str">
        <f>IF($S$2="STANDARD",'Std Calcs'!E64,'Opt Calcs'!E64)</f>
        <v/>
      </c>
      <c r="G64" s="51"/>
      <c r="H64" s="51" t="str">
        <f>IF($S$2="STANDARD",'Std Calcs'!H64,'Opt Calcs'!H64)</f>
        <v>C - Conductor Constance</v>
      </c>
      <c r="I64" s="51"/>
      <c r="J64" s="51"/>
      <c r="K64" s="51"/>
      <c r="L64" s="51"/>
      <c r="M64" s="51"/>
      <c r="N64" s="51"/>
      <c r="O64" s="51" t="s">
        <v>397</v>
      </c>
      <c r="AA64" s="51">
        <v>17</v>
      </c>
      <c r="AB64" s="305" t="s">
        <v>532</v>
      </c>
      <c r="AC64" s="305">
        <v>12</v>
      </c>
      <c r="AD64" s="305" t="s">
        <v>161</v>
      </c>
    </row>
    <row r="65" spans="2:30">
      <c r="B65" s="340" t="str">
        <f>IF($S$2="STANDARD",'Std Calcs'!B65,'Opt Calcs'!B65)</f>
        <v xml:space="preserve">PUMP ( 2 X 21 A X 240 V ) = </v>
      </c>
      <c r="D65" s="341"/>
      <c r="E65" s="342">
        <f>IF($S$2="STANDARD",'Std Calcs'!E65,'Opt Calcs'!E65)</f>
        <v>10080</v>
      </c>
      <c r="G65" s="51"/>
      <c r="H65" s="51" t="str">
        <f>IF($S$2="STANDARD",'Std Calcs'!H65,'Opt Calcs'!H65)</f>
        <v>CF - Conductor Factor</v>
      </c>
      <c r="I65" s="51"/>
      <c r="J65" s="51"/>
      <c r="K65" s="51"/>
      <c r="L65" s="51"/>
      <c r="M65" s="51"/>
      <c r="N65" s="51"/>
      <c r="O65" s="51" t="s">
        <v>397</v>
      </c>
      <c r="P65" s="51" t="str">
        <f>Export!F4</f>
        <v>60A-2P</v>
      </c>
      <c r="AA65" s="51">
        <v>18</v>
      </c>
      <c r="AB65" s="306" t="s">
        <v>533</v>
      </c>
      <c r="AC65" s="306">
        <v>12</v>
      </c>
      <c r="AD65" s="306" t="s">
        <v>161</v>
      </c>
    </row>
    <row r="66" spans="2:30">
      <c r="B66" s="340" t="str">
        <f>IF($S$2="STANDARD",'Std Calcs'!B66,'Opt Calcs'!B66)</f>
        <v/>
      </c>
      <c r="D66" s="341"/>
      <c r="E66" s="342" t="str">
        <f>IF($S$2="STANDARD",'Std Calcs'!E66,'Opt Calcs'!E66)</f>
        <v/>
      </c>
      <c r="G66" s="51"/>
      <c r="H66" s="51" t="str">
        <f>IF($S$2="STANDARD",'Std Calcs'!H66,'Opt Calcs'!H66)</f>
        <v>CLC - Conductor Let Through Current</v>
      </c>
      <c r="I66" s="51"/>
      <c r="J66" s="51"/>
      <c r="K66" s="51"/>
      <c r="L66" s="51"/>
      <c r="M66" s="51"/>
      <c r="N66" s="51"/>
    </row>
    <row r="67" spans="2:30">
      <c r="B67" s="340" t="str">
        <f>IF($S$2="STANDARD",'Std Calcs'!B67,'Opt Calcs'!B67)</f>
        <v/>
      </c>
      <c r="D67" s="341"/>
      <c r="E67" s="342" t="str">
        <f>IF($S$2="STANDARD",'Std Calcs'!E67,'Opt Calcs'!E67)</f>
        <v/>
      </c>
      <c r="G67" s="51"/>
      <c r="H67" s="51" t="str">
        <f>IF($S$2="STANDARD",'Std Calcs'!H67,'Opt Calcs'!H67)</f>
        <v>CM - Conductor Multiplier</v>
      </c>
      <c r="I67" s="51"/>
      <c r="J67" s="51"/>
      <c r="K67" s="51"/>
      <c r="L67" s="51"/>
      <c r="M67" s="51"/>
      <c r="N67" s="51"/>
    </row>
    <row r="68" spans="2:30">
      <c r="B68" s="340" t="str">
        <f>IF($S$2="STANDARD",'Std Calcs'!B68,'Opt Calcs'!B68)</f>
        <v/>
      </c>
      <c r="D68" s="341"/>
      <c r="E68" s="342" t="str">
        <f>IF($S$2="STANDARD",'Std Calcs'!E68,'Opt Calcs'!E68)</f>
        <v/>
      </c>
      <c r="G68" s="51"/>
      <c r="H68" s="51" t="str">
        <f>IF($S$2="STANDARD",'Std Calcs'!H68,'Opt Calcs'!H68)</f>
        <v>L - Length</v>
      </c>
      <c r="I68" s="51"/>
      <c r="J68" s="51"/>
      <c r="K68" s="51"/>
      <c r="L68" s="51"/>
      <c r="M68" s="51"/>
      <c r="N68" s="51"/>
      <c r="P68" s="362" t="str">
        <f>Export!D4</f>
        <v>SP1</v>
      </c>
    </row>
    <row r="69" spans="2:30">
      <c r="B69" s="340" t="str">
        <f>IF($S$2="STANDARD",'Std Calcs'!B69,'Opt Calcs'!B69)</f>
        <v/>
      </c>
      <c r="D69" s="341"/>
      <c r="E69" s="342" t="str">
        <f>IF($S$2="STANDARD",'Std Calcs'!E69,'Opt Calcs'!E69)</f>
        <v/>
      </c>
      <c r="G69" s="51"/>
      <c r="H69" s="51" t="str">
        <f>IF($S$2="STANDARD",'Std Calcs'!H69,'Opt Calcs'!H69)</f>
        <v>MC - Motor Contribution</v>
      </c>
      <c r="I69" s="51"/>
      <c r="J69" s="51"/>
      <c r="K69" s="51"/>
      <c r="L69" s="51"/>
      <c r="M69" s="51"/>
      <c r="N69" s="51"/>
    </row>
    <row r="70" spans="2:30">
      <c r="B70" s="340" t="str">
        <f>IF($S$2="STANDARD",'Std Calcs'!B70,'Opt Calcs'!B70)</f>
        <v/>
      </c>
      <c r="D70" s="341"/>
      <c r="E70" s="342" t="str">
        <f>IF($S$2="STANDARD",'Std Calcs'!E70,'Opt Calcs'!E70)</f>
        <v/>
      </c>
      <c r="G70" s="51"/>
      <c r="H70" s="51" t="str">
        <f>IF($S$2="STANDARD",'Std Calcs'!H70,'Opt Calcs'!H70)</f>
        <v>N - Number of Conductors</v>
      </c>
      <c r="I70" s="51"/>
      <c r="J70" s="51"/>
      <c r="K70" s="51"/>
      <c r="L70" s="51"/>
      <c r="M70" s="51"/>
      <c r="N70" s="51"/>
    </row>
    <row r="71" spans="2:30">
      <c r="B71" s="340" t="str">
        <f>IF($S$2="STANDARD",'Std Calcs'!B71,'Opt Calcs'!B71)</f>
        <v/>
      </c>
      <c r="D71" s="341"/>
      <c r="E71" s="342" t="str">
        <f>IF($S$2="STANDARD",'Std Calcs'!E71,'Opt Calcs'!E71)</f>
        <v/>
      </c>
      <c r="G71" s="51"/>
      <c r="H71" s="51" t="str">
        <f>IF($S$2="STANDARD",'Std Calcs'!H71,'Opt Calcs'!H71)</f>
        <v>R - Resistance</v>
      </c>
      <c r="I71" s="51"/>
      <c r="J71" s="51"/>
      <c r="K71" s="51"/>
      <c r="L71" s="51"/>
      <c r="M71" s="51"/>
      <c r="N71" s="51"/>
    </row>
    <row r="72" spans="2:30">
      <c r="B72" s="340" t="str">
        <f>IF($S$2="STANDARD",'Std Calcs'!B72,'Opt Calcs'!B72)</f>
        <v/>
      </c>
      <c r="D72" s="341"/>
      <c r="E72" s="342" t="str">
        <f>IF($S$2="STANDARD",'Std Calcs'!E72,'Opt Calcs'!E72)</f>
        <v/>
      </c>
      <c r="G72" s="51"/>
      <c r="H72" s="51" t="str">
        <f>IF($S$2="STANDARD",'Std Calcs'!H72,'Opt Calcs'!H72)</f>
        <v>UA - Utility Adjustment</v>
      </c>
      <c r="I72" s="51"/>
      <c r="J72" s="51"/>
      <c r="K72" s="51"/>
      <c r="L72" s="51"/>
      <c r="M72" s="51"/>
      <c r="N72" s="51"/>
    </row>
    <row r="73" spans="2:30">
      <c r="B73" s="340" t="str">
        <f>IF($S$2="STANDARD",'Std Calcs'!B73,'Opt Calcs'!B73)</f>
        <v/>
      </c>
      <c r="D73" s="341"/>
      <c r="E73" s="342" t="str">
        <f>IF($S$2="STANDARD",'Std Calcs'!E73,'Opt Calcs'!E73)</f>
        <v/>
      </c>
      <c r="G73" s="51"/>
      <c r="H73" s="51" t="str">
        <f>IF($S$2="STANDARD",'Std Calcs'!H73,'Opt Calcs'!H73)</f>
        <v>V - Volts</v>
      </c>
      <c r="I73" s="51"/>
      <c r="J73" s="51"/>
      <c r="K73" s="51"/>
      <c r="L73" s="51"/>
      <c r="M73" s="51"/>
      <c r="N73" s="51"/>
    </row>
    <row r="74" spans="2:30">
      <c r="B74" s="340" t="str">
        <f>IF($S$2="STANDARD",'Std Calcs'!B74,'Opt Calcs'!B74)</f>
        <v/>
      </c>
      <c r="D74" s="341"/>
      <c r="E74" s="342" t="str">
        <f>IF($S$2="STANDARD",'Std Calcs'!E74,'Opt Calcs'!E74)</f>
        <v/>
      </c>
      <c r="G74" s="51"/>
      <c r="H74" s="51" t="str">
        <f>IF($S$2="STANDARD",'Std Calcs'!H74,'Opt Calcs'!H74)</f>
        <v>VA - Volt Amps</v>
      </c>
      <c r="I74" s="51"/>
      <c r="J74" s="51"/>
      <c r="K74" s="51"/>
      <c r="L74" s="51"/>
      <c r="M74" s="51"/>
      <c r="N74" s="51"/>
    </row>
    <row r="75" spans="2:30">
      <c r="B75" s="340" t="str">
        <f>IF($S$2="STANDARD",'Std Calcs'!B75,'Opt Calcs'!B75)</f>
        <v>LARGEST HEATING OR COOLING LOAD</v>
      </c>
      <c r="E75" s="342">
        <f>IF($S$2="STANDARD",'Std Calcs'!E75,'Opt Calcs'!E75)</f>
        <v>4000</v>
      </c>
      <c r="G75" s="51"/>
      <c r="H75" s="51" t="str">
        <f>IF($S$2="STANDARD",'Std Calcs'!H75,'Opt Calcs'!H75)</f>
        <v>VD - Voltage Drop</v>
      </c>
      <c r="I75" s="51"/>
      <c r="J75" s="51"/>
      <c r="K75" s="51"/>
      <c r="L75" s="51"/>
      <c r="M75" s="51"/>
      <c r="N75" s="51"/>
    </row>
    <row r="76" spans="2:30">
      <c r="B76" s="340" t="str">
        <f>IF($S$2="STANDARD",'Std Calcs'!B76,'Opt Calcs'!B76)</f>
        <v>TOTAL LOAD</v>
      </c>
      <c r="E76" s="399">
        <f>IF($S$2="STANDARD",'Std Calcs'!E76,'Opt Calcs'!E76)</f>
        <v>27345</v>
      </c>
      <c r="G76" s="51"/>
      <c r="H76" s="51" t="str">
        <f>IF($S$2="STANDARD",'Std Calcs'!H76,'Opt Calcs'!H76)</f>
        <v xml:space="preserve"> </v>
      </c>
      <c r="I76" s="51"/>
      <c r="J76" s="51"/>
      <c r="K76" s="51"/>
      <c r="L76" s="51"/>
      <c r="M76" s="51"/>
      <c r="N76" s="51"/>
    </row>
    <row r="77" spans="2:30">
      <c r="B77" s="340" t="str">
        <f>IF($S$2="STANDARD",'Std Calcs'!B77,'Opt Calcs'!B77)</f>
        <v xml:space="preserve"> </v>
      </c>
      <c r="E77" s="342" t="str">
        <f>IF($S$2="STANDARD",'Std Calcs'!E77,'Opt Calcs'!E77)</f>
        <v xml:space="preserve"> </v>
      </c>
      <c r="G77" s="51"/>
      <c r="H77" s="51" t="str">
        <f>IF($S$2="STANDARD",'Std Calcs'!H77,'Opt Calcs'!H77)</f>
        <v xml:space="preserve"> </v>
      </c>
      <c r="I77" s="51"/>
      <c r="J77" s="51"/>
      <c r="K77" s="51"/>
      <c r="L77" s="51"/>
      <c r="M77" s="51"/>
      <c r="N77" s="51"/>
    </row>
    <row r="78" spans="2:30">
      <c r="B78" s="340" t="str">
        <f>IF($S$2="STANDARD",'Std Calcs'!B78,'Opt Calcs'!B78)</f>
        <v xml:space="preserve"> </v>
      </c>
      <c r="E78" s="342" t="str">
        <f>IF($S$2="STANDARD",'Std Calcs'!E78,'Opt Calcs'!E78)</f>
        <v xml:space="preserve"> </v>
      </c>
      <c r="G78" s="51"/>
      <c r="H78" s="51" t="str">
        <f>IF($S$2="STANDARD",'Std Calcs'!H78,'Opt Calcs'!H78)</f>
        <v xml:space="preserve"> </v>
      </c>
      <c r="I78" s="51"/>
      <c r="J78" s="51"/>
      <c r="K78" s="51"/>
      <c r="L78" s="51"/>
      <c r="M78" s="51"/>
      <c r="N78" s="51"/>
    </row>
    <row r="79" spans="2:30">
      <c r="B79" s="340" t="str">
        <f>IF($S$2="STANDARD",'Std Calcs'!B79,'Opt Calcs'!B79)</f>
        <v xml:space="preserve"> </v>
      </c>
      <c r="E79" s="407" t="str">
        <f>IF($S$2="STANDARD",'Std Calcs'!E79,'Opt Calcs'!E79)</f>
        <v xml:space="preserve"> </v>
      </c>
      <c r="G79" s="51"/>
      <c r="H79" s="51" t="str">
        <f>IF($S$2="STANDARD",'Std Calcs'!H79,'Opt Calcs'!H79)</f>
        <v xml:space="preserve"> </v>
      </c>
      <c r="I79" s="51"/>
      <c r="J79" s="51"/>
      <c r="K79" s="51"/>
      <c r="L79" s="51"/>
      <c r="M79" s="51"/>
      <c r="N79" s="51"/>
    </row>
    <row r="80" spans="2:30">
      <c r="B80" s="340" t="str">
        <f>IF($S$2="STANDARD",'Std Calcs'!B80,'Opt Calcs'!B80)</f>
        <v xml:space="preserve"> </v>
      </c>
      <c r="E80" s="342" t="str">
        <f>IF($S$2="STANDARD",'Std Calcs'!E80,'Opt Calcs'!E80)</f>
        <v xml:space="preserve"> </v>
      </c>
      <c r="G80" s="51"/>
      <c r="H80" s="51"/>
      <c r="I80" s="51"/>
      <c r="J80" s="51"/>
      <c r="K80" s="51"/>
      <c r="L80" s="51"/>
      <c r="M80" s="51"/>
      <c r="N80" s="51"/>
    </row>
    <row r="81" spans="1:53">
      <c r="B81" s="396" t="str">
        <f>IF($S$2="STANDARD",'Std Calcs'!B81,'Opt Calcs'!B81)</f>
        <v xml:space="preserve"> </v>
      </c>
      <c r="E81" s="407" t="str">
        <f>IF($S$2="STANDARD",'Std Calcs'!E81,'Opt Calcs'!E81)</f>
        <v xml:space="preserve"> </v>
      </c>
      <c r="G81" s="51"/>
      <c r="H81" s="51"/>
      <c r="I81" s="51"/>
      <c r="J81" s="51"/>
      <c r="K81" s="51"/>
      <c r="L81" s="51"/>
      <c r="M81" s="51"/>
      <c r="N81" s="51"/>
    </row>
    <row r="82" spans="1:53">
      <c r="B82" s="60" t="str">
        <f>IF($S$2="STANDARD",'Std Calcs'!B82,'Opt Calcs'!B82)</f>
        <v xml:space="preserve"> </v>
      </c>
      <c r="C82" s="341"/>
      <c r="D82" s="359"/>
      <c r="E82" s="359" t="str">
        <f>IF($S$2="STANDARD",'Std Calcs'!E82,'Opt Calcs'!E82)</f>
        <v xml:space="preserve"> </v>
      </c>
      <c r="G82" s="51"/>
      <c r="H82" s="51"/>
      <c r="I82" s="51"/>
      <c r="J82" s="51"/>
      <c r="K82" s="51"/>
      <c r="L82" s="51"/>
      <c r="M82" s="51"/>
      <c r="N82" s="51"/>
    </row>
    <row r="83" spans="1:53" ht="14.1" customHeight="1">
      <c r="B83" s="60" t="str">
        <f>IF($S$2="STANDARD",'Std Calcs'!B83,'Opt Calcs'!B83)</f>
        <v xml:space="preserve">TOTAL AMPS ( 27,345 VA ÷ 240 V ) = </v>
      </c>
      <c r="C83" s="341"/>
      <c r="D83" s="359"/>
      <c r="E83" s="384">
        <f>IF($S$2="STANDARD",'Std Calcs'!E83,'Opt Calcs'!E83)</f>
        <v>114</v>
      </c>
      <c r="G83" s="51"/>
      <c r="H83" s="51" t="s">
        <v>636</v>
      </c>
      <c r="I83" s="51"/>
      <c r="J83" s="51"/>
      <c r="K83" s="51"/>
      <c r="L83" s="51"/>
      <c r="M83" s="51"/>
      <c r="N83" s="51"/>
      <c r="AH83" s="51" t="s">
        <v>82</v>
      </c>
    </row>
    <row r="84" spans="1:53" ht="14.1" customHeight="1">
      <c r="B84" s="60" t="str">
        <f>IF($S$2="STANDARD",'Std Calcs'!B84,'Opt Calcs'!B84)</f>
        <v>FUTURE AMPS ( 0% )</v>
      </c>
      <c r="C84" s="341"/>
      <c r="D84" s="359"/>
      <c r="E84" s="384">
        <f>IF($S$2="STANDARD",'Std Calcs'!E84,'Opt Calcs'!E84)</f>
        <v>0</v>
      </c>
      <c r="G84" s="51"/>
      <c r="H84" s="51" t="s">
        <v>569</v>
      </c>
      <c r="I84" s="51"/>
      <c r="J84" s="51"/>
      <c r="K84" s="51"/>
      <c r="L84" s="51"/>
      <c r="M84" s="51"/>
      <c r="N84" s="51"/>
      <c r="AB84" s="47" t="s">
        <v>501</v>
      </c>
      <c r="AF84" s="51" t="s">
        <v>488</v>
      </c>
      <c r="AG84" s="51">
        <f>Input!J51*1000</f>
        <v>4000</v>
      </c>
      <c r="AH84" s="334" t="str">
        <f t="shared" ref="AH84:AH89" si="14">TEXT(AG84,"#,##0")</f>
        <v>4,000</v>
      </c>
      <c r="AI84" s="51" t="s">
        <v>499</v>
      </c>
      <c r="AJ84" s="51" t="str">
        <f>CONCATENATE(AB84,AH84,AI84,AH84,AF84)</f>
        <v>(1) AC LOAD ( 4,000 VA X 100% ) = 4,000 VA</v>
      </c>
      <c r="AK84" s="51">
        <f>AG84</f>
        <v>4000</v>
      </c>
    </row>
    <row r="85" spans="1:53" ht="14.1" customHeight="1">
      <c r="B85" s="396" t="str">
        <f>IF($S$2="STANDARD",'Std Calcs'!B85,'Opt Calcs'!B85)</f>
        <v>DESIGN AMPS</v>
      </c>
      <c r="E85" s="402">
        <f>IF($S$2="STANDARD",'Std Calcs'!E85,'Opt Calcs'!E85)</f>
        <v>114</v>
      </c>
      <c r="G85" s="51"/>
      <c r="H85" s="51" t="s">
        <v>587</v>
      </c>
      <c r="I85" s="51"/>
      <c r="J85" s="51"/>
      <c r="K85" s="51"/>
      <c r="L85" s="51"/>
      <c r="M85" s="51"/>
      <c r="N85" s="51"/>
      <c r="AB85" s="60" t="str">
        <f>IF(S1&lt;&gt;2002,"(2) HEAT PUMPS NO SUPP ( ","(2) HEAT PUMPS AND SUPP ( ")</f>
        <v xml:space="preserve">(2) HEAT PUMPS NO SUPP ( </v>
      </c>
      <c r="AF85" s="51" t="s">
        <v>488</v>
      </c>
      <c r="AG85" s="51">
        <f>Input!J54*1000</f>
        <v>0</v>
      </c>
      <c r="AH85" s="334" t="str">
        <f t="shared" si="14"/>
        <v>0</v>
      </c>
      <c r="AI85" s="51" t="s">
        <v>499</v>
      </c>
      <c r="AJ85" s="51" t="str">
        <f>CONCATENATE(AB85,AH85,AI85,AH85,AF85)</f>
        <v>(2) HEAT PUMPS NO SUPP ( 0 VA X 100% ) = 0 VA</v>
      </c>
      <c r="AK85" s="51">
        <f>AG85</f>
        <v>0</v>
      </c>
    </row>
    <row r="86" spans="1:53" ht="14.1" customHeight="1">
      <c r="B86" s="60"/>
      <c r="C86" s="341"/>
      <c r="D86" s="359"/>
      <c r="G86" s="51"/>
      <c r="H86" s="51"/>
      <c r="I86" s="51"/>
      <c r="J86" s="51"/>
      <c r="K86" s="51"/>
      <c r="L86" s="51"/>
      <c r="M86" s="51"/>
      <c r="N86" s="51"/>
      <c r="AB86" s="47" t="str">
        <f>IF(S1=2008,"(3) HEAT PUMPS ( ","(3) ELECTRIC THERMAL ( ")</f>
        <v xml:space="preserve">(3) HEAT PUMPS ( </v>
      </c>
      <c r="AF86" s="51" t="s">
        <v>488</v>
      </c>
      <c r="AG86" s="51">
        <f>Input!J58*1000</f>
        <v>0</v>
      </c>
      <c r="AH86" s="334" t="str">
        <f t="shared" si="14"/>
        <v>0</v>
      </c>
      <c r="AI86" s="51" t="s">
        <v>499</v>
      </c>
      <c r="AJ86" s="51" t="str">
        <f>CONCATENATE(AB86,AH86,AI86,AH86,AF86)</f>
        <v>(3) HEAT PUMPS ( 0 VA X 100% ) = 0 VA</v>
      </c>
      <c r="AK86" s="51">
        <f>AG86</f>
        <v>0</v>
      </c>
      <c r="AN86" s="364" t="str">
        <f>IF(S1=2008,"      SUPPLEMENTAL HEAT ( ","(3) ELECTRIC THERMAL ( ")</f>
        <v xml:space="preserve">      SUPPLEMENTAL HEAT ( </v>
      </c>
      <c r="AP86" s="322">
        <f>Input!J61*1000</f>
        <v>0</v>
      </c>
      <c r="AQ86" s="334" t="str">
        <f>TEXT(AP86,"#,##0")</f>
        <v>0</v>
      </c>
      <c r="AR86" s="51" t="s">
        <v>500</v>
      </c>
      <c r="AS86" s="51" t="str">
        <f>CONCATENATE(AN86,AQ86,AR86)</f>
        <v xml:space="preserve">      SUPPLEMENTAL HEAT ( 0 VA X 65% ) = </v>
      </c>
      <c r="AW86" s="51">
        <f>ROUND(AP86*0.65,0)</f>
        <v>0</v>
      </c>
      <c r="AX86" s="334" t="str">
        <f>TEXT(AW86,"#,##0")</f>
        <v>0</v>
      </c>
      <c r="AY86" s="51" t="s">
        <v>488</v>
      </c>
      <c r="BA86" s="51" t="str">
        <f>CONCATENATE(AN86,AQ86,AR86,AX86,AY86)</f>
        <v xml:space="preserve">      SUPPLEMENTAL HEAT ( 0 VA X 65% ) = 0 VA</v>
      </c>
    </row>
    <row r="87" spans="1:53" ht="14.1" hidden="1" customHeight="1">
      <c r="B87" s="60"/>
      <c r="C87" s="341"/>
      <c r="D87" s="359"/>
      <c r="G87" s="405"/>
      <c r="H87" s="404"/>
      <c r="I87" s="404"/>
      <c r="J87" s="404"/>
      <c r="K87" s="404"/>
      <c r="L87" s="404"/>
      <c r="M87" s="404"/>
      <c r="N87" s="404"/>
      <c r="AB87" s="60" t="str">
        <f>IF(S1=2002,"(4) CENTRAL ELECTRIC ( ",IF(S1=2005,"(4) HEAT PUMPS ( ","(4) ELECTRIC SPACE ( "))</f>
        <v xml:space="preserve">(4) ELECTRIC SPACE ( </v>
      </c>
      <c r="AF87" s="51" t="s">
        <v>488</v>
      </c>
      <c r="AG87" s="51">
        <f>Input!J64*1000</f>
        <v>0</v>
      </c>
      <c r="AH87" s="334" t="str">
        <f t="shared" si="14"/>
        <v>0</v>
      </c>
      <c r="AI87" s="51" t="str">
        <f>IF(S1&lt;&gt;2005," VA X 65% ) = "," VA X 100% ) = ")</f>
        <v xml:space="preserve"> VA X 65% ) = </v>
      </c>
      <c r="AJ87" s="51" t="str">
        <f>CONCATENATE(AB87,AH87,AI87,AH87,AF87)</f>
        <v>(4) ELECTRIC SPACE ( 0 VA X 65% ) = 0 VA</v>
      </c>
      <c r="AK87" s="51">
        <f>IF(S1&lt;&gt;2005,ROUND((AG87*0.65),0),AG87)</f>
        <v>0</v>
      </c>
      <c r="AL87" s="334" t="str">
        <f>TEXT(AK87,"#,##0")</f>
        <v>0</v>
      </c>
      <c r="AN87" s="360" t="str">
        <f>CONCATENATE(AB87,AH87,AI87,AL87,AF87)</f>
        <v>(4) ELECTRIC SPACE ( 0 VA X 65% ) = 0 VA</v>
      </c>
    </row>
    <row r="88" spans="1:53" ht="14.1" hidden="1" customHeight="1">
      <c r="B88" s="60"/>
      <c r="C88" s="341"/>
      <c r="D88" s="359"/>
      <c r="G88" s="405"/>
      <c r="H88" s="404"/>
      <c r="I88" s="404"/>
      <c r="J88" s="404"/>
      <c r="K88" s="404"/>
      <c r="L88" s="404"/>
      <c r="M88" s="404"/>
      <c r="N88" s="404"/>
      <c r="AB88" s="47" t="s">
        <v>502</v>
      </c>
      <c r="AF88" s="51" t="s">
        <v>488</v>
      </c>
      <c r="AG88" s="51">
        <f>Input!J71*1000</f>
        <v>0</v>
      </c>
      <c r="AH88" s="334" t="str">
        <f t="shared" si="14"/>
        <v>0</v>
      </c>
      <c r="AI88" s="51" t="str">
        <f>IF(S1&lt;&gt;2008," VA X 65% ) = "," VA X 40% ) = ")</f>
        <v xml:space="preserve"> VA X 40% ) = </v>
      </c>
      <c r="AJ88" s="51" t="str">
        <f>CONCATENATE(AB88,AH88,AI88,AL88,AF88)</f>
        <v>(5) SPACE HEATING ( 0 VA X 40% ) = 0 VA</v>
      </c>
      <c r="AK88" s="51">
        <f>IF(S1&lt;&gt;2008,(AG88*0.65),(AG88*0.4))</f>
        <v>0</v>
      </c>
      <c r="AL88" s="334" t="str">
        <f>TEXT(AK88,"#,##0")</f>
        <v>0</v>
      </c>
      <c r="AN88" s="364"/>
    </row>
    <row r="89" spans="1:53" ht="14.1" hidden="1" customHeight="1">
      <c r="B89" s="60"/>
      <c r="C89" s="341"/>
      <c r="D89" s="359"/>
      <c r="G89" s="405"/>
      <c r="H89" s="404"/>
      <c r="I89" s="404"/>
      <c r="J89" s="404"/>
      <c r="K89" s="404"/>
      <c r="L89" s="404"/>
      <c r="M89" s="404"/>
      <c r="N89" s="404"/>
      <c r="AB89" s="47" t="s">
        <v>503</v>
      </c>
      <c r="AF89" s="51" t="s">
        <v>488</v>
      </c>
      <c r="AG89" s="51">
        <f>Input!J75*1000</f>
        <v>0</v>
      </c>
      <c r="AH89" s="334" t="str">
        <f t="shared" si="14"/>
        <v>0</v>
      </c>
      <c r="AI89" s="51" t="str">
        <f>IF(S1=2008," VA X 100% ) = "," VA X 40% ) = ")</f>
        <v xml:space="preserve"> VA X 100% ) = </v>
      </c>
      <c r="AJ89" s="51" t="str">
        <f>CONCATENATE(AB89,AH89,AI89,AL89,AF89)</f>
        <v>(6) SPACE HEATING (0 VA X 100% ) = 0 VA</v>
      </c>
      <c r="AK89" s="51">
        <f>IF(S1=2008,AG89,(AG89*0.4))</f>
        <v>0</v>
      </c>
      <c r="AL89" s="334" t="str">
        <f>TEXT(AK89,"#,##0")</f>
        <v>0</v>
      </c>
      <c r="AN89" s="360" t="s">
        <v>549</v>
      </c>
      <c r="AP89" s="322">
        <f>Input!J67*1000</f>
        <v>0</v>
      </c>
      <c r="AQ89" s="334" t="str">
        <f>TEXT(AP89,"#,##0")</f>
        <v>0</v>
      </c>
      <c r="AR89" s="51" t="s">
        <v>500</v>
      </c>
      <c r="AS89" s="51" t="str">
        <f>CONCATENATE(AN89,AQ89,AR89)</f>
        <v xml:space="preserve">      SUPPLEMENTAL HEAT ( 0 VA X 65% ) = </v>
      </c>
      <c r="AW89" s="51">
        <f>ROUND(AP89*0.65,0)</f>
        <v>0</v>
      </c>
      <c r="AX89" s="334" t="str">
        <f>TEXT(AW89,"#,##0")</f>
        <v>0</v>
      </c>
      <c r="AY89" s="51" t="s">
        <v>488</v>
      </c>
      <c r="BA89" s="51" t="str">
        <f>CONCATENATE(AN89,AQ89,AR89,AX89,AY89)</f>
        <v xml:space="preserve">      SUPPLEMENTAL HEAT ( 0 VA X 65% ) = 0 VA</v>
      </c>
    </row>
    <row r="90" spans="1:53" ht="14.1" hidden="1" customHeight="1">
      <c r="A90" s="331"/>
      <c r="B90" s="409"/>
      <c r="C90" s="405"/>
      <c r="D90" s="408"/>
      <c r="E90" s="404"/>
      <c r="F90" s="404"/>
      <c r="G90" s="404"/>
      <c r="H90" s="404"/>
      <c r="I90" s="404"/>
      <c r="J90" s="404"/>
      <c r="K90" s="404"/>
      <c r="L90" s="404"/>
      <c r="M90" s="404"/>
      <c r="N90" s="404"/>
      <c r="AK90" s="51">
        <f>MAX(AK84:AK89)</f>
        <v>4000</v>
      </c>
    </row>
    <row r="91" spans="1:53" ht="14.1" hidden="1" customHeight="1">
      <c r="A91" s="331"/>
      <c r="B91" s="409"/>
      <c r="C91" s="405"/>
      <c r="D91" s="408"/>
      <c r="E91" s="404"/>
      <c r="F91" s="404"/>
      <c r="G91" s="404"/>
      <c r="H91" s="404"/>
      <c r="I91" s="404"/>
      <c r="J91" s="404"/>
      <c r="K91" s="404"/>
      <c r="L91" s="404"/>
      <c r="M91" s="404"/>
      <c r="N91" s="404"/>
    </row>
    <row r="92" spans="1:53" ht="14.1" hidden="1" customHeight="1">
      <c r="A92" s="331"/>
      <c r="B92" s="404"/>
      <c r="C92" s="404"/>
      <c r="D92" s="404"/>
      <c r="E92" s="407"/>
      <c r="F92" s="404"/>
      <c r="AB92" s="321" t="str">
        <f>E81</f>
        <v xml:space="preserve"> </v>
      </c>
      <c r="AG92" s="334" t="str">
        <f>TEXT(AB92,"#,##0")</f>
        <v xml:space="preserve"> </v>
      </c>
      <c r="AH92" s="51" t="str">
        <f>IF(Input!J9=1," VA ÷ "," VA ÷ 1.732 ÷ ")</f>
        <v xml:space="preserve"> VA ÷ </v>
      </c>
      <c r="AI92" s="365">
        <f>Input!Q4</f>
        <v>240</v>
      </c>
      <c r="AJ92" s="51" t="s">
        <v>415</v>
      </c>
      <c r="AK92" s="49" t="e">
        <f>IF(Input!J9=1,ROUND((AB92/AI92),0),ROUND((AB92/1.732/AI92),0))</f>
        <v>#VALUE!</v>
      </c>
      <c r="AN92" s="322" t="s">
        <v>16</v>
      </c>
    </row>
    <row r="93" spans="1:53" ht="14.1" hidden="1" customHeight="1">
      <c r="A93" s="331"/>
      <c r="B93" s="406"/>
      <c r="C93" s="404"/>
      <c r="D93" s="404"/>
      <c r="E93" s="407"/>
      <c r="F93" s="404"/>
      <c r="AQ93" s="51">
        <v>1</v>
      </c>
      <c r="AR93" s="334">
        <f t="shared" ref="AR93:AR98" si="15">AK84</f>
        <v>4000</v>
      </c>
      <c r="AS93" s="334"/>
      <c r="AT93" s="51">
        <f t="shared" ref="AT93:AT98" si="16">SUM(AR93:AS93)</f>
        <v>4000</v>
      </c>
      <c r="AU93" s="51">
        <f t="shared" ref="AU93:AU98" si="17">AT93</f>
        <v>4000</v>
      </c>
      <c r="AV93" s="51">
        <f>IF(AU93=MAX(AU$93:AU$98),1,0)</f>
        <v>1</v>
      </c>
      <c r="AW93" s="51">
        <f t="shared" ref="AW93:AW98" si="18">IF(AV93&gt;0,AU93,0)</f>
        <v>4000</v>
      </c>
    </row>
    <row r="94" spans="1:53" ht="14.1" hidden="1" customHeight="1">
      <c r="A94" s="331"/>
      <c r="B94" s="404"/>
      <c r="C94" s="404"/>
      <c r="D94" s="404"/>
      <c r="E94" s="404"/>
      <c r="F94" s="404"/>
      <c r="AG94" s="51" t="s">
        <v>504</v>
      </c>
      <c r="AJ94" s="51" t="str">
        <f>CONCATENATE(AG94,AG92,AH92,AI92,AJ92)</f>
        <v xml:space="preserve">TOTAL AMPS (   VA ÷ 240 V ) = </v>
      </c>
      <c r="AQ94" s="51">
        <v>2</v>
      </c>
      <c r="AR94" s="334">
        <f t="shared" si="15"/>
        <v>0</v>
      </c>
      <c r="AS94" s="334"/>
      <c r="AT94" s="51">
        <f t="shared" si="16"/>
        <v>0</v>
      </c>
      <c r="AU94" s="51">
        <f t="shared" si="17"/>
        <v>0</v>
      </c>
      <c r="AV94" s="51">
        <f>IF(AV93&gt;0,0,IF(AU94=MAX(AU$93:AU$98),1,0))</f>
        <v>0</v>
      </c>
      <c r="AW94" s="51">
        <f t="shared" si="18"/>
        <v>0</v>
      </c>
    </row>
    <row r="95" spans="1:53" ht="14.1" hidden="1" customHeight="1">
      <c r="A95" s="331"/>
      <c r="B95" s="404"/>
      <c r="C95" s="404"/>
      <c r="D95" s="405"/>
      <c r="E95" s="410"/>
      <c r="F95" s="404"/>
      <c r="AB95" s="51" t="s">
        <v>25</v>
      </c>
      <c r="AQ95" s="51">
        <v>3</v>
      </c>
      <c r="AR95" s="334">
        <f t="shared" si="15"/>
        <v>0</v>
      </c>
      <c r="AS95" s="334">
        <f>IF(S1&lt;&gt;2008,0,AW86)</f>
        <v>0</v>
      </c>
      <c r="AT95" s="51">
        <f t="shared" si="16"/>
        <v>0</v>
      </c>
      <c r="AU95" s="51">
        <f t="shared" si="17"/>
        <v>0</v>
      </c>
      <c r="AV95" s="51">
        <f>IF(SUM(AV93:AV94)&gt;0,0,IF(AU95=MAX(AU$93:AU$98),1,0))</f>
        <v>0</v>
      </c>
      <c r="AW95" s="51">
        <f t="shared" si="18"/>
        <v>0</v>
      </c>
    </row>
    <row r="96" spans="1:53" ht="14.1" hidden="1" customHeight="1">
      <c r="A96" s="331"/>
      <c r="B96" s="404"/>
      <c r="C96" s="404"/>
      <c r="D96" s="405"/>
      <c r="E96" s="410"/>
      <c r="F96" s="404"/>
      <c r="AA96" s="51" t="s">
        <v>506</v>
      </c>
      <c r="AB96" s="51">
        <f>IF(OR(M22=3000,M22&gt;3000),3000,M22)</f>
        <v>3000</v>
      </c>
      <c r="AD96" s="51" t="str">
        <f>TEXT(AB96,"#,##0")</f>
        <v>3,000</v>
      </c>
      <c r="AE96" s="51" t="s">
        <v>507</v>
      </c>
      <c r="AJ96" s="51" t="str">
        <f>CONCATENATE(AA96,AD96,AE96)</f>
        <v xml:space="preserve">FIRST 3,000 VA @ 100% ( 3,000 VA X 1.00 ) = </v>
      </c>
      <c r="AQ96" s="51">
        <v>4</v>
      </c>
      <c r="AR96" s="334">
        <f t="shared" si="15"/>
        <v>0</v>
      </c>
      <c r="AS96" s="334">
        <f>IF(S1=2002,0,IF(S1=2008,0,AW89))</f>
        <v>0</v>
      </c>
      <c r="AT96" s="51">
        <f t="shared" si="16"/>
        <v>0</v>
      </c>
      <c r="AU96" s="51">
        <f t="shared" si="17"/>
        <v>0</v>
      </c>
      <c r="AV96" s="51">
        <f>IF(SUM(AV93:AV95)&gt;0,0,IF(AU96=MAX(AU$93:AU$98),1,0))</f>
        <v>0</v>
      </c>
      <c r="AW96" s="51">
        <f t="shared" si="18"/>
        <v>0</v>
      </c>
    </row>
    <row r="97" spans="1:49" ht="14.1" hidden="1" customHeight="1">
      <c r="A97" s="331"/>
      <c r="B97" s="406"/>
      <c r="C97" s="404"/>
      <c r="D97" s="404"/>
      <c r="E97" s="410"/>
      <c r="F97" s="404"/>
      <c r="AQ97" s="51">
        <v>5</v>
      </c>
      <c r="AR97" s="334">
        <f t="shared" si="15"/>
        <v>0</v>
      </c>
      <c r="AS97" s="334"/>
      <c r="AT97" s="51">
        <f t="shared" si="16"/>
        <v>0</v>
      </c>
      <c r="AU97" s="51">
        <f t="shared" si="17"/>
        <v>0</v>
      </c>
      <c r="AV97" s="51">
        <f>IF(SUM(AV93:AV96)&gt;0,0,IF(AU97=MAX(AU$93:AU$98),1,0))</f>
        <v>0</v>
      </c>
      <c r="AW97" s="51">
        <f t="shared" si="18"/>
        <v>0</v>
      </c>
    </row>
    <row r="98" spans="1:49" ht="14.1" hidden="1" customHeight="1">
      <c r="B98" s="396"/>
      <c r="E98" s="410"/>
      <c r="AA98" s="51" t="s">
        <v>508</v>
      </c>
      <c r="AB98" s="50">
        <f>M22</f>
        <v>3300</v>
      </c>
      <c r="AD98" s="51">
        <v>3000</v>
      </c>
      <c r="AE98" s="51">
        <f>AB98-AD98</f>
        <v>300</v>
      </c>
      <c r="AF98" s="334" t="str">
        <f>TEXT(AE98,"#,##0")</f>
        <v>300</v>
      </c>
      <c r="AG98" s="51" t="s">
        <v>485</v>
      </c>
      <c r="AJ98" s="51" t="str">
        <f>CONCATENATE(AA98,AF98,AG98)</f>
        <v xml:space="preserve">3,000-120,000 VA @ 35% ( 300 VA X 0.35 ) = </v>
      </c>
      <c r="AK98" s="51">
        <f>AE98*0.35</f>
        <v>105</v>
      </c>
      <c r="AQ98" s="51">
        <v>6</v>
      </c>
      <c r="AR98" s="334">
        <f t="shared" si="15"/>
        <v>0</v>
      </c>
      <c r="AS98" s="334"/>
      <c r="AT98" s="51">
        <f t="shared" si="16"/>
        <v>0</v>
      </c>
      <c r="AU98" s="51">
        <f t="shared" si="17"/>
        <v>0</v>
      </c>
      <c r="AV98" s="51">
        <f>IF(SUM(AV93:AV97)&gt;0,0,IF(AU98=MAX(AU$93:AU$98),1,0))</f>
        <v>0</v>
      </c>
      <c r="AW98" s="51">
        <f t="shared" si="18"/>
        <v>0</v>
      </c>
    </row>
    <row r="99" spans="1:49" ht="14.1" hidden="1" customHeight="1">
      <c r="B99" s="396"/>
    </row>
    <row r="100" spans="1:49" ht="14.1" hidden="1" customHeight="1">
      <c r="AA100" s="51" t="s">
        <v>509</v>
      </c>
      <c r="AB100" s="51">
        <f>IF(AB98-120000&lt;0,0,(AB98-120000))</f>
        <v>0</v>
      </c>
      <c r="AE100" s="51" t="str">
        <f>TEXT(AB100,"#,##0")</f>
        <v>0</v>
      </c>
      <c r="AG100" s="51" t="s">
        <v>486</v>
      </c>
      <c r="AJ100" s="51" t="str">
        <f>CONCATENATE(AA100,AE100,AG100)</f>
        <v xml:space="preserve">OVER 120,000 VA @ 25% ( 0 VA X 0.25 ) = </v>
      </c>
      <c r="AK100" s="51">
        <f>IF(AB100=0,0,AB100*0.25)</f>
        <v>0</v>
      </c>
      <c r="AW100" s="51">
        <f>MAX(AW93:AW98)</f>
        <v>4000</v>
      </c>
    </row>
    <row r="101" spans="1:49" ht="14.1" hidden="1" customHeight="1">
      <c r="AB101" s="51" t="s">
        <v>55</v>
      </c>
    </row>
    <row r="102" spans="1:49" ht="14.1" hidden="1" customHeight="1">
      <c r="Y102" s="51" t="str">
        <f>IF(Input!J9=1,"70% OF TABLE ","100% OF TABLE ")</f>
        <v xml:space="preserve">70% OF TABLE </v>
      </c>
      <c r="AA102" s="51" t="str">
        <f>IF(AND(S1&lt;&gt;2002,Input!J9=1),"70% OF TABLE 220.55 ( ",IF(AND(S1=2002,Input!J9=1),"70% OF TABLE 220.19 ( ",IF(AND(S1&lt;&gt;2002,Input!J9&lt;&gt;1),"100% OF TABLE 220.55 ( ","100% OF TABLE 220.19 ( ")))</f>
        <v xml:space="preserve">70% OF TABLE 220.55 ( </v>
      </c>
      <c r="AB102" s="51">
        <f>Tables!C14*1000</f>
        <v>0</v>
      </c>
      <c r="AE102" s="51" t="str">
        <f>TEXT(AB102,"#,##0")</f>
        <v>0</v>
      </c>
      <c r="AG102" s="51" t="str">
        <f>IF(Input!J9=1," VA X 0.70 ) = "," VA X 1.00 ) = ")</f>
        <v xml:space="preserve"> VA X 0.70 ) = </v>
      </c>
      <c r="AJ102" s="51" t="str">
        <f>CONCATENATE(AA102,AE102,AG102)</f>
        <v xml:space="preserve">70% OF TABLE 220.55 ( 0 VA X 0.70 ) = </v>
      </c>
      <c r="AK102" s="51">
        <f>IF(Input!J9=1,AB102*0.7,AB102)</f>
        <v>0</v>
      </c>
    </row>
    <row r="103" spans="1:49" ht="14.1" hidden="1" customHeight="1">
      <c r="Y103" s="51" t="str">
        <f>IF(Input!J9=1,"70% OF TABLE ","100% OF TABLE ")</f>
        <v xml:space="preserve">70% OF TABLE </v>
      </c>
      <c r="AB103" s="51" t="s">
        <v>86</v>
      </c>
      <c r="AF103" s="51">
        <f>Tables!C54/100</f>
        <v>1</v>
      </c>
    </row>
    <row r="104" spans="1:49" ht="14.1" hidden="1" customHeight="1">
      <c r="AA104" s="51" t="str">
        <f>IF(AND(S1&lt;&gt;2002,Input!J9=1),"70% OF TABLE 220.54 ( ",IF(AND(S1=2002,Input!J9=1),"70% OF TABLE 220.18 ( ",IF(AND(S1&lt;&gt;2002,Input!J9&lt;&gt;1),"100% OF TABLE 220.54 ( ","100% OF TABLE 220.18 ( ")))</f>
        <v xml:space="preserve">70% OF TABLE 220.54 ( </v>
      </c>
      <c r="AB104" s="321">
        <f>Input!E32*Input!F32*1000</f>
        <v>5000</v>
      </c>
      <c r="AE104" s="51" t="str">
        <f>TEXT(AB104,"#,##0")</f>
        <v>5,000</v>
      </c>
      <c r="AF104" s="334" t="str">
        <f>TEXT(AF103,"0.00")</f>
        <v>1.00</v>
      </c>
      <c r="AG104" s="51" t="str">
        <f>IF(Input!J9=1," VA X 0.70 ) = "," VA X 1.00 ) = ")</f>
        <v xml:space="preserve"> VA X 0.70 ) = </v>
      </c>
      <c r="AH104" s="51" t="s">
        <v>510</v>
      </c>
      <c r="AJ104" s="366" t="str">
        <f>CONCATENATE(AA104,AE104,AH104,AF104,AG104)</f>
        <v xml:space="preserve">70% OF TABLE 220.54 ( 5,000 VA 1.00 VA X 0.70 ) = </v>
      </c>
      <c r="AK104" s="51">
        <f>IF(Input!J9=1,AB104*0.7*AF103,AB104*AF103)</f>
        <v>3500</v>
      </c>
      <c r="AL104" s="322">
        <f>AK104*AF104</f>
        <v>3500</v>
      </c>
      <c r="AM104" s="322">
        <f>AL104*0.7</f>
        <v>2450</v>
      </c>
    </row>
    <row r="105" spans="1:49" ht="14.1" hidden="1" customHeight="1">
      <c r="AB105" s="51" t="s">
        <v>87</v>
      </c>
    </row>
    <row r="106" spans="1:49" ht="14.1" hidden="1" customHeight="1">
      <c r="AB106" s="50">
        <f>Tables!H165</f>
        <v>2280</v>
      </c>
      <c r="AE106" s="51" t="str">
        <f>TEXT(AB106,"#,##0")</f>
        <v>2,280</v>
      </c>
      <c r="AG106" s="51" t="s">
        <v>85</v>
      </c>
      <c r="AJ106" s="51" t="str">
        <f>CONCATENATE(AE106,AG106)</f>
        <v xml:space="preserve">2,280 VA X 1.00 = </v>
      </c>
      <c r="AK106" s="335">
        <f>AB106</f>
        <v>2280</v>
      </c>
    </row>
    <row r="107" spans="1:49" ht="14.1" hidden="1" customHeight="1"/>
    <row r="108" spans="1:49" ht="14.1" hidden="1" customHeight="1">
      <c r="AB108" s="51" t="s">
        <v>88</v>
      </c>
    </row>
    <row r="109" spans="1:49" ht="14.1" hidden="1" customHeight="1">
      <c r="AA109" s="51" t="s">
        <v>511</v>
      </c>
      <c r="AB109" s="50">
        <f>M39</f>
        <v>8885</v>
      </c>
      <c r="AE109" s="51" t="str">
        <f>TEXT(AB109,"#,##0")</f>
        <v>8,885</v>
      </c>
      <c r="AG109" s="51" t="str">
        <f>IF(Input!J9=1," VA ÷ "," VA ÷ 1.732 ÷ ")</f>
        <v xml:space="preserve"> VA ÷ </v>
      </c>
      <c r="AH109" s="49">
        <f>Input!Q4</f>
        <v>240</v>
      </c>
      <c r="AI109" s="49" t="s">
        <v>415</v>
      </c>
      <c r="AJ109" s="51" t="str">
        <f>CONCATENATE(AA109,AE109,AG109,AH109,AI109)</f>
        <v xml:space="preserve">NEUTRAL LOAD ( 8,885 VA ÷ 240 V ) = </v>
      </c>
      <c r="AL109" s="322">
        <f>IF(Input!J9=1,ROUND((AE109/AH109),0),ROUND((AE109/1.732/AH109),0))</f>
        <v>37</v>
      </c>
    </row>
    <row r="110" spans="1:49" ht="14.1" hidden="1" customHeight="1">
      <c r="P110" s="51" t="s">
        <v>523</v>
      </c>
      <c r="R110" s="51">
        <v>1</v>
      </c>
    </row>
    <row r="111" spans="1:49" ht="14.1" hidden="1" customHeight="1">
      <c r="Q111" s="51" t="s">
        <v>249</v>
      </c>
      <c r="R111" s="51">
        <f>IF(Input!J3="YES",2,"")</f>
        <v>2</v>
      </c>
    </row>
    <row r="112" spans="1:49" ht="14.1" hidden="1" customHeight="1">
      <c r="Q112" s="51" t="s">
        <v>524</v>
      </c>
      <c r="R112" s="51">
        <f>IF(Input!J6="YES",3,"")</f>
        <v>3</v>
      </c>
      <c r="AB112" s="51" t="s">
        <v>505</v>
      </c>
    </row>
    <row r="113" spans="18:36" ht="14.1" hidden="1" customHeight="1">
      <c r="R113" s="51">
        <f>IF(AND(R111=2,R112=3),4,"")</f>
        <v>4</v>
      </c>
      <c r="AB113" s="49" t="e">
        <f>AK92</f>
        <v>#VALUE!</v>
      </c>
      <c r="AE113" s="51" t="e">
        <f>TEXT(AB113,"#,##0")</f>
        <v>#VALUE!</v>
      </c>
      <c r="AG113" s="51" t="s">
        <v>290</v>
      </c>
      <c r="AH113" s="51">
        <f>Input!E21/100</f>
        <v>0</v>
      </c>
      <c r="AI113" s="51" t="s">
        <v>19</v>
      </c>
      <c r="AJ113" s="51" t="e">
        <f>CONCATENATE(AE113,AG113,AH113,AI113)</f>
        <v>#VALUE!</v>
      </c>
    </row>
    <row r="114" spans="18:36" ht="14.1" hidden="1" customHeight="1">
      <c r="AE114" s="51" t="s">
        <v>289</v>
      </c>
      <c r="AG114" s="51" t="s">
        <v>291</v>
      </c>
      <c r="AH114" s="51">
        <f>Input!E21</f>
        <v>0</v>
      </c>
      <c r="AI114" s="51" t="s">
        <v>292</v>
      </c>
      <c r="AJ114" s="51" t="str">
        <f>CONCATENATE(AE114,AG114,AH114,AI114)</f>
        <v>FUTURE AMPS ( 0% )</v>
      </c>
    </row>
    <row r="115" spans="18:36" ht="14.1" hidden="1" customHeight="1"/>
    <row r="116" spans="18:36" ht="14.1" hidden="1" customHeight="1"/>
    <row r="117" spans="18:36" ht="14.1" hidden="1" customHeight="1">
      <c r="R117" s="51">
        <f>MAX(R110:R113)</f>
        <v>4</v>
      </c>
      <c r="T117" s="51">
        <v>1</v>
      </c>
      <c r="V117" s="51">
        <v>2</v>
      </c>
      <c r="X117" s="51">
        <v>3</v>
      </c>
      <c r="Z117" s="51">
        <v>4</v>
      </c>
    </row>
    <row r="118" spans="18:36" ht="14.1" hidden="1" customHeight="1"/>
    <row r="119" spans="18:36" ht="14.1" hidden="1" customHeight="1">
      <c r="R119" s="51" t="str">
        <f t="shared" ref="R119:R135" si="19">IF(R$117=1,T119,IF(R$117=2,V119,IF(R$117=3,X119,IF(R$117=4,Z119,99))))</f>
        <v>A - Amps</v>
      </c>
      <c r="T119" s="51" t="s">
        <v>456</v>
      </c>
      <c r="V119" s="51" t="s">
        <v>456</v>
      </c>
      <c r="X119" s="51" t="s">
        <v>456</v>
      </c>
      <c r="Z119" s="51" t="s">
        <v>456</v>
      </c>
    </row>
    <row r="120" spans="18:36" ht="14.1" hidden="1" customHeight="1">
      <c r="R120" s="51" t="str">
        <f t="shared" si="19"/>
        <v>AFC - Available Fault Current</v>
      </c>
      <c r="T120" s="51" t="s">
        <v>468</v>
      </c>
      <c r="V120" s="51" t="s">
        <v>462</v>
      </c>
      <c r="X120" s="51" t="s">
        <v>457</v>
      </c>
      <c r="Z120" s="51" t="s">
        <v>457</v>
      </c>
    </row>
    <row r="121" spans="18:36" ht="14.1" hidden="1" customHeight="1">
      <c r="R121" s="51" t="str">
        <f t="shared" si="19"/>
        <v>C - Conductor Constance</v>
      </c>
      <c r="T121" s="51" t="s">
        <v>468</v>
      </c>
      <c r="V121" s="51" t="s">
        <v>465</v>
      </c>
      <c r="X121" s="51" t="s">
        <v>458</v>
      </c>
      <c r="Z121" s="51" t="s">
        <v>458</v>
      </c>
    </row>
    <row r="122" spans="18:36" ht="14.1" hidden="1" customHeight="1">
      <c r="R122" s="51" t="str">
        <f t="shared" si="19"/>
        <v>CF - Conductor Factor</v>
      </c>
      <c r="T122" s="51" t="s">
        <v>467</v>
      </c>
      <c r="V122" s="51" t="s">
        <v>467</v>
      </c>
      <c r="X122" s="51" t="s">
        <v>459</v>
      </c>
      <c r="Z122" s="51" t="s">
        <v>459</v>
      </c>
    </row>
    <row r="123" spans="18:36" ht="14.1" hidden="1" customHeight="1">
      <c r="R123" s="51" t="str">
        <f t="shared" si="19"/>
        <v>CLC - Conductor Let Through Current</v>
      </c>
      <c r="T123" s="51" t="s">
        <v>66</v>
      </c>
      <c r="V123" s="51" t="s">
        <v>468</v>
      </c>
      <c r="X123" s="51" t="s">
        <v>460</v>
      </c>
      <c r="Z123" s="51" t="s">
        <v>460</v>
      </c>
    </row>
    <row r="124" spans="18:36" ht="14.1" hidden="1" customHeight="1">
      <c r="R124" s="51" t="str">
        <f t="shared" si="19"/>
        <v>CM - Conductor Multiplier</v>
      </c>
      <c r="T124" s="51" t="s">
        <v>66</v>
      </c>
      <c r="V124" s="51" t="s">
        <v>469</v>
      </c>
      <c r="X124" s="51" t="s">
        <v>461</v>
      </c>
      <c r="Z124" s="51" t="s">
        <v>461</v>
      </c>
    </row>
    <row r="125" spans="18:36" ht="14.1" hidden="1" customHeight="1">
      <c r="R125" s="51" t="str">
        <f t="shared" si="19"/>
        <v>L - Length</v>
      </c>
      <c r="T125" s="51" t="s">
        <v>66</v>
      </c>
      <c r="V125" s="51" t="s">
        <v>66</v>
      </c>
      <c r="X125" s="51" t="s">
        <v>462</v>
      </c>
      <c r="Z125" s="51" t="s">
        <v>462</v>
      </c>
    </row>
    <row r="126" spans="18:36" ht="14.1" hidden="1" customHeight="1">
      <c r="R126" s="51" t="str">
        <f t="shared" si="19"/>
        <v>MC - Motor Contribution</v>
      </c>
      <c r="T126" s="51" t="s">
        <v>66</v>
      </c>
      <c r="V126" s="51" t="s">
        <v>66</v>
      </c>
      <c r="X126" s="51" t="s">
        <v>463</v>
      </c>
      <c r="Z126" s="51" t="s">
        <v>463</v>
      </c>
    </row>
    <row r="127" spans="18:36" ht="14.1" hidden="1" customHeight="1">
      <c r="R127" s="51" t="str">
        <f t="shared" si="19"/>
        <v>N - Number of Conductors</v>
      </c>
      <c r="T127" s="51" t="s">
        <v>66</v>
      </c>
      <c r="V127" s="51" t="s">
        <v>66</v>
      </c>
      <c r="X127" s="51" t="s">
        <v>464</v>
      </c>
      <c r="Z127" s="51" t="s">
        <v>464</v>
      </c>
    </row>
    <row r="128" spans="18:36" ht="14.1" hidden="1" customHeight="1">
      <c r="R128" s="51" t="str">
        <f t="shared" si="19"/>
        <v>R - Resistance</v>
      </c>
      <c r="T128" s="51" t="s">
        <v>66</v>
      </c>
      <c r="V128" s="51" t="s">
        <v>66</v>
      </c>
      <c r="X128" s="51" t="s">
        <v>466</v>
      </c>
      <c r="Z128" s="51" t="s">
        <v>465</v>
      </c>
    </row>
    <row r="129" spans="18:26" ht="14.1" hidden="1" customHeight="1">
      <c r="R129" s="51" t="str">
        <f t="shared" si="19"/>
        <v>UA - Utility Adjustment</v>
      </c>
      <c r="T129" s="51" t="s">
        <v>66</v>
      </c>
      <c r="V129" s="51" t="s">
        <v>66</v>
      </c>
      <c r="X129" s="51" t="s">
        <v>467</v>
      </c>
      <c r="Z129" s="51" t="s">
        <v>466</v>
      </c>
    </row>
    <row r="130" spans="18:26" ht="14.1" hidden="1" customHeight="1">
      <c r="R130" s="51" t="str">
        <f t="shared" si="19"/>
        <v>V - Volts</v>
      </c>
      <c r="T130" s="51" t="s">
        <v>66</v>
      </c>
      <c r="V130" s="51" t="s">
        <v>66</v>
      </c>
      <c r="X130" s="51" t="s">
        <v>468</v>
      </c>
      <c r="Z130" s="51" t="s">
        <v>467</v>
      </c>
    </row>
    <row r="131" spans="18:26" ht="14.1" hidden="1" customHeight="1">
      <c r="R131" s="51" t="str">
        <f t="shared" si="19"/>
        <v>VA - Volt Amps</v>
      </c>
      <c r="T131" s="51" t="s">
        <v>66</v>
      </c>
      <c r="V131" s="51" t="s">
        <v>66</v>
      </c>
      <c r="X131" s="51" t="s">
        <v>66</v>
      </c>
      <c r="Z131" s="51" t="s">
        <v>468</v>
      </c>
    </row>
    <row r="132" spans="18:26" ht="14.1" hidden="1" customHeight="1">
      <c r="R132" s="51" t="str">
        <f t="shared" si="19"/>
        <v>VD - Voltage Drop</v>
      </c>
      <c r="T132" s="51" t="s">
        <v>66</v>
      </c>
      <c r="V132" s="51" t="s">
        <v>66</v>
      </c>
      <c r="X132" s="51" t="s">
        <v>66</v>
      </c>
      <c r="Z132" s="51" t="s">
        <v>469</v>
      </c>
    </row>
    <row r="133" spans="18:26" ht="14.1" hidden="1" customHeight="1">
      <c r="R133" s="51" t="str">
        <f t="shared" si="19"/>
        <v xml:space="preserve"> </v>
      </c>
      <c r="T133" s="51" t="s">
        <v>66</v>
      </c>
      <c r="V133" s="51" t="s">
        <v>66</v>
      </c>
      <c r="X133" s="51" t="s">
        <v>66</v>
      </c>
      <c r="Z133" s="51" t="s">
        <v>66</v>
      </c>
    </row>
    <row r="134" spans="18:26" ht="14.1" hidden="1" customHeight="1">
      <c r="R134" s="51" t="str">
        <f t="shared" si="19"/>
        <v xml:space="preserve"> </v>
      </c>
      <c r="T134" s="51" t="s">
        <v>66</v>
      </c>
      <c r="V134" s="51" t="s">
        <v>66</v>
      </c>
      <c r="Z134" s="51" t="s">
        <v>66</v>
      </c>
    </row>
    <row r="135" spans="18:26" ht="14.1" hidden="1" customHeight="1">
      <c r="R135" s="51" t="str">
        <f t="shared" si="19"/>
        <v xml:space="preserve"> </v>
      </c>
      <c r="T135" s="51" t="s">
        <v>66</v>
      </c>
      <c r="V135" s="51" t="s">
        <v>66</v>
      </c>
      <c r="X135" s="51" t="s">
        <v>66</v>
      </c>
      <c r="Z135" s="51" t="s">
        <v>66</v>
      </c>
    </row>
    <row r="136" spans="18:26" ht="14.1" hidden="1" customHeight="1">
      <c r="R136" s="51" t="s">
        <v>66</v>
      </c>
      <c r="T136" s="51" t="s">
        <v>66</v>
      </c>
      <c r="V136" s="51" t="s">
        <v>66</v>
      </c>
      <c r="X136" s="51" t="s">
        <v>66</v>
      </c>
    </row>
    <row r="137" spans="18:26" ht="14.1" hidden="1" customHeight="1"/>
    <row r="138" spans="18:26" ht="14.1" hidden="1" customHeight="1"/>
    <row r="139" spans="18:26" ht="14.1" hidden="1" customHeight="1"/>
    <row r="140" spans="18:26" ht="14.1" hidden="1" customHeight="1"/>
    <row r="141" spans="18:26" ht="14.1" hidden="1" customHeight="1"/>
    <row r="142" spans="18:26" ht="14.1" hidden="1" customHeight="1"/>
    <row r="143" spans="18:26" ht="14.1" hidden="1" customHeight="1"/>
    <row r="144" spans="18:26" ht="14.1" hidden="1" customHeight="1"/>
    <row r="145" ht="14.1" hidden="1" customHeight="1"/>
    <row r="146" ht="14.1" hidden="1" customHeight="1"/>
    <row r="147" ht="14.1" hidden="1" customHeight="1"/>
    <row r="148" ht="14.1" hidden="1" customHeight="1"/>
    <row r="149" ht="14.1" hidden="1" customHeight="1"/>
    <row r="150" ht="14.1" hidden="1" customHeight="1"/>
    <row r="151" ht="14.1" hidden="1" customHeight="1"/>
    <row r="152" ht="14.1" hidden="1" customHeight="1"/>
    <row r="153" ht="14.1" hidden="1" customHeight="1"/>
    <row r="154" ht="14.1" hidden="1" customHeight="1"/>
    <row r="155" ht="14.1" hidden="1" customHeight="1"/>
    <row r="156" ht="14.1" hidden="1" customHeight="1"/>
    <row r="157" ht="14.1" hidden="1" customHeight="1"/>
    <row r="158" ht="14.1" hidden="1" customHeight="1"/>
    <row r="159" ht="14.1" hidden="1" customHeight="1"/>
    <row r="160" ht="14.1" hidden="1" customHeight="1"/>
    <row r="161" ht="14.1" hidden="1" customHeight="1"/>
    <row r="162" ht="14.1" hidden="1" customHeight="1"/>
    <row r="163" ht="14.1" hidden="1" customHeight="1"/>
    <row r="164" ht="14.1" hidden="1" customHeight="1"/>
    <row r="165" ht="14.1" hidden="1" customHeight="1"/>
    <row r="166" ht="14.1" hidden="1" customHeight="1"/>
    <row r="167" ht="14.1" hidden="1" customHeight="1"/>
    <row r="168" ht="14.1" hidden="1" customHeight="1"/>
    <row r="169" ht="14.1" hidden="1" customHeight="1"/>
    <row r="170" ht="14.1" hidden="1" customHeight="1"/>
    <row r="171" ht="14.1" hidden="1" customHeight="1"/>
    <row r="172" ht="14.1" hidden="1" customHeight="1"/>
    <row r="173" ht="14.1" hidden="1" customHeight="1"/>
    <row r="174" ht="14.1" hidden="1" customHeight="1"/>
    <row r="175" ht="14.1" hidden="1" customHeight="1"/>
    <row r="176" ht="14.1" hidden="1" customHeight="1"/>
    <row r="177" ht="14.1" hidden="1" customHeight="1"/>
    <row r="178" ht="14.1" hidden="1" customHeight="1"/>
    <row r="179" ht="14.1" hidden="1" customHeight="1"/>
    <row r="180" ht="14.1" hidden="1" customHeight="1"/>
    <row r="181" ht="14.1" hidden="1" customHeight="1"/>
    <row r="182" ht="14.1" hidden="1" customHeight="1"/>
    <row r="183" ht="14.1" hidden="1" customHeight="1"/>
    <row r="184" ht="14.1" hidden="1" customHeight="1"/>
    <row r="185" ht="14.1" hidden="1" customHeight="1"/>
    <row r="186" ht="14.1" hidden="1" customHeight="1"/>
    <row r="187" ht="14.1" hidden="1" customHeight="1"/>
    <row r="188" ht="14.1" hidden="1" customHeight="1"/>
    <row r="189" ht="14.1" hidden="1" customHeight="1"/>
    <row r="190" ht="14.1" hidden="1" customHeight="1"/>
    <row r="191" ht="14.1" hidden="1" customHeight="1"/>
    <row r="192" ht="14.1" hidden="1" customHeight="1"/>
    <row r="193" ht="14.1" hidden="1" customHeight="1"/>
    <row r="194" ht="14.1" hidden="1" customHeight="1"/>
    <row r="195" ht="14.1" hidden="1" customHeight="1"/>
    <row r="196" ht="14.1" hidden="1" customHeight="1"/>
    <row r="197" ht="14.1" hidden="1" customHeight="1"/>
    <row r="198" ht="14.1" hidden="1" customHeight="1"/>
    <row r="199" ht="14.1" hidden="1" customHeight="1"/>
    <row r="200" ht="14.1" hidden="1" customHeight="1"/>
    <row r="201" ht="14.1" hidden="1" customHeight="1"/>
    <row r="202" ht="14.1" hidden="1" customHeight="1"/>
    <row r="203" ht="14.1" hidden="1" customHeight="1"/>
    <row r="204" ht="14.1" hidden="1" customHeight="1"/>
    <row r="205" ht="14.1" hidden="1" customHeight="1"/>
    <row r="206" ht="14.1" hidden="1" customHeight="1"/>
    <row r="207" ht="14.1" hidden="1" customHeight="1"/>
    <row r="208" ht="14.1" hidden="1" customHeight="1"/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4.1" hidden="1" customHeight="1"/>
    <row r="313" ht="14.1" hidden="1" customHeight="1"/>
    <row r="314" ht="14.1" hidden="1" customHeight="1"/>
    <row r="315" ht="14.1" hidden="1" customHeight="1"/>
    <row r="316" ht="14.1" hidden="1" customHeight="1"/>
    <row r="317" ht="14.1" hidden="1" customHeight="1"/>
    <row r="318" ht="14.1" hidden="1" customHeight="1"/>
    <row r="319" ht="14.1" hidden="1" customHeight="1"/>
    <row r="320" ht="14.1" hidden="1" customHeight="1"/>
    <row r="321" ht="14.1" hidden="1" customHeight="1"/>
    <row r="322" ht="14.1" hidden="1" customHeight="1"/>
    <row r="323" ht="14.1" hidden="1" customHeight="1"/>
    <row r="324" ht="14.1" hidden="1" customHeight="1"/>
    <row r="325" ht="14.1" hidden="1" customHeight="1"/>
    <row r="326" ht="14.1" hidden="1" customHeight="1"/>
    <row r="327" ht="14.1" hidden="1" customHeight="1"/>
    <row r="328" ht="14.1" hidden="1" customHeight="1"/>
    <row r="329" ht="14.1" hidden="1" customHeight="1"/>
    <row r="330" ht="14.1" hidden="1" customHeight="1"/>
    <row r="331" ht="14.1" hidden="1" customHeight="1"/>
    <row r="332" ht="14.1" hidden="1" customHeight="1"/>
    <row r="333" ht="14.1" hidden="1" customHeight="1"/>
    <row r="334" ht="14.1" hidden="1" customHeight="1"/>
    <row r="335" ht="14.1" hidden="1" customHeight="1"/>
    <row r="336" ht="14.1" hidden="1" customHeight="1"/>
    <row r="337" ht="14.1" hidden="1" customHeight="1"/>
    <row r="338" ht="14.1" hidden="1" customHeight="1"/>
    <row r="339" ht="14.1" hidden="1" customHeight="1"/>
    <row r="340" ht="14.1" hidden="1" customHeight="1"/>
    <row r="341" ht="14.1" hidden="1" customHeight="1"/>
    <row r="342" ht="14.1" hidden="1" customHeight="1"/>
    <row r="343" ht="14.1" hidden="1" customHeight="1"/>
    <row r="344" ht="14.1" hidden="1" customHeight="1"/>
    <row r="345" ht="14.1" hidden="1" customHeight="1"/>
    <row r="346" ht="14.1" hidden="1" customHeight="1"/>
    <row r="347" ht="14.1" hidden="1" customHeight="1"/>
    <row r="348" ht="14.1" hidden="1" customHeight="1"/>
    <row r="349" ht="14.1" hidden="1" customHeight="1"/>
    <row r="350" ht="14.1" hidden="1" customHeight="1"/>
    <row r="351" ht="14.1" hidden="1" customHeight="1"/>
    <row r="352" ht="14.1" hidden="1" customHeight="1"/>
    <row r="353" ht="14.1" hidden="1" customHeight="1"/>
    <row r="354" ht="14.1" hidden="1" customHeight="1"/>
    <row r="355" ht="14.1" hidden="1" customHeight="1"/>
    <row r="356" ht="14.1" hidden="1" customHeight="1"/>
    <row r="357" ht="14.1" hidden="1" customHeight="1"/>
    <row r="358" ht="14.1" hidden="1" customHeight="1"/>
    <row r="359" ht="14.1" hidden="1" customHeight="1"/>
    <row r="360" ht="14.1" hidden="1" customHeight="1"/>
    <row r="361" ht="14.1" hidden="1" customHeight="1"/>
    <row r="362" ht="14.1" hidden="1" customHeight="1"/>
    <row r="363" ht="14.1" hidden="1" customHeight="1"/>
    <row r="364" ht="14.1" hidden="1" customHeight="1"/>
    <row r="365" ht="14.1" hidden="1" customHeight="1"/>
    <row r="366" ht="14.1" hidden="1" customHeight="1"/>
    <row r="367" ht="14.1" hidden="1" customHeight="1"/>
    <row r="368" ht="14.1" hidden="1" customHeight="1"/>
    <row r="369" ht="14.1" hidden="1" customHeight="1"/>
    <row r="370" ht="14.1" hidden="1" customHeight="1"/>
    <row r="371" ht="14.1" hidden="1" customHeight="1"/>
    <row r="372" ht="14.1" hidden="1" customHeight="1"/>
    <row r="373" ht="14.1" hidden="1" customHeight="1"/>
    <row r="374" ht="14.1" hidden="1" customHeight="1"/>
    <row r="375" ht="14.1" hidden="1" customHeight="1"/>
    <row r="376" ht="14.1" hidden="1" customHeight="1"/>
    <row r="377" ht="14.1" hidden="1" customHeight="1"/>
    <row r="378" ht="14.1" hidden="1" customHeight="1"/>
    <row r="379" ht="14.1" hidden="1" customHeight="1"/>
    <row r="380" ht="14.1" hidden="1" customHeight="1"/>
    <row r="381" ht="14.1" hidden="1" customHeight="1"/>
    <row r="382" ht="14.1" hidden="1" customHeight="1"/>
    <row r="383" ht="14.1" hidden="1" customHeight="1"/>
    <row r="384" ht="14.1" hidden="1" customHeight="1"/>
    <row r="385" ht="14.1" hidden="1" customHeight="1"/>
    <row r="386" ht="14.1" hidden="1" customHeight="1"/>
    <row r="387" ht="14.1" hidden="1" customHeight="1"/>
    <row r="388" ht="14.1" hidden="1" customHeight="1"/>
    <row r="389" ht="14.1" hidden="1" customHeight="1"/>
    <row r="390" ht="14.1" hidden="1" customHeight="1"/>
    <row r="391" ht="14.1" hidden="1" customHeight="1"/>
    <row r="392" ht="14.1" hidden="1" customHeight="1"/>
    <row r="393" ht="14.1" hidden="1" customHeight="1"/>
    <row r="394" ht="14.1" hidden="1" customHeight="1"/>
    <row r="395" ht="14.1" hidden="1" customHeight="1"/>
    <row r="396" ht="14.1" hidden="1" customHeight="1"/>
    <row r="397" ht="14.1" hidden="1" customHeight="1"/>
    <row r="398" ht="14.1" hidden="1" customHeight="1"/>
    <row r="399" ht="14.1" hidden="1" customHeight="1"/>
    <row r="400" ht="14.1" hidden="1" customHeight="1"/>
    <row r="401" ht="14.1" hidden="1" customHeight="1"/>
    <row r="402" ht="14.1" hidden="1" customHeight="1"/>
    <row r="403" ht="14.1" hidden="1" customHeight="1"/>
    <row r="404" ht="14.1" hidden="1" customHeight="1"/>
    <row r="405" ht="14.1" hidden="1" customHeight="1"/>
    <row r="406" ht="14.1" hidden="1" customHeight="1"/>
    <row r="407" ht="14.1" hidden="1" customHeight="1"/>
    <row r="408" ht="14.1" hidden="1" customHeight="1"/>
    <row r="409" ht="14.1" hidden="1" customHeight="1"/>
    <row r="410" ht="14.1" hidden="1" customHeight="1"/>
    <row r="411" ht="14.1" hidden="1" customHeight="1"/>
    <row r="412" ht="14.1" hidden="1" customHeight="1"/>
    <row r="413" ht="14.1" hidden="1" customHeight="1"/>
    <row r="414" ht="14.1" hidden="1" customHeight="1"/>
    <row r="415" ht="14.1" hidden="1" customHeight="1"/>
    <row r="416" ht="14.1" hidden="1" customHeight="1"/>
    <row r="417" ht="14.1" hidden="1" customHeight="1"/>
    <row r="418" ht="14.1" hidden="1" customHeight="1"/>
    <row r="419" ht="14.1" hidden="1" customHeight="1"/>
    <row r="420" ht="14.1" hidden="1" customHeight="1"/>
    <row r="421" ht="14.1" hidden="1" customHeight="1"/>
    <row r="422" ht="14.1" hidden="1" customHeight="1"/>
    <row r="423" ht="14.1" hidden="1" customHeight="1"/>
    <row r="424" ht="14.1" hidden="1" customHeight="1"/>
    <row r="425" ht="14.1" hidden="1" customHeight="1"/>
    <row r="426" ht="14.1" hidden="1" customHeight="1"/>
    <row r="427" ht="14.1" hidden="1" customHeight="1"/>
    <row r="428" ht="14.1" hidden="1" customHeight="1"/>
    <row r="429" ht="14.1" hidden="1" customHeight="1"/>
    <row r="430" ht="14.1" hidden="1" customHeight="1"/>
    <row r="431" ht="14.1" hidden="1" customHeight="1"/>
    <row r="432" ht="14.1" hidden="1" customHeight="1"/>
    <row r="433" ht="14.1" hidden="1" customHeight="1"/>
    <row r="434" ht="14.1" hidden="1" customHeight="1"/>
    <row r="435" ht="14.1" hidden="1" customHeight="1"/>
    <row r="436" ht="14.1" hidden="1" customHeight="1"/>
    <row r="437" ht="14.1" hidden="1" customHeight="1"/>
    <row r="438" ht="14.1" hidden="1" customHeight="1"/>
    <row r="439" ht="14.1" hidden="1" customHeight="1"/>
    <row r="440" ht="14.1" hidden="1" customHeight="1"/>
    <row r="441" ht="14.1" hidden="1" customHeight="1"/>
    <row r="442" ht="14.1" hidden="1" customHeight="1"/>
    <row r="443" ht="14.1" hidden="1" customHeight="1"/>
    <row r="444" ht="14.1" hidden="1" customHeight="1"/>
    <row r="445" ht="14.1" hidden="1" customHeight="1"/>
    <row r="446" ht="14.1" hidden="1" customHeight="1"/>
    <row r="447" ht="14.1" hidden="1" customHeight="1"/>
    <row r="448" ht="14.1" hidden="1" customHeight="1"/>
    <row r="449" ht="14.1" hidden="1" customHeight="1"/>
    <row r="450" ht="14.1" hidden="1" customHeight="1"/>
    <row r="451" ht="14.1" hidden="1" customHeight="1"/>
    <row r="452" ht="14.1" hidden="1" customHeight="1"/>
    <row r="453" ht="14.1" hidden="1" customHeight="1"/>
    <row r="454" ht="14.1" hidden="1" customHeight="1"/>
    <row r="455" ht="14.1" hidden="1" customHeight="1"/>
    <row r="456" ht="14.1" hidden="1" customHeight="1"/>
    <row r="457" ht="14.1" hidden="1" customHeight="1"/>
    <row r="458" ht="14.1" hidden="1" customHeight="1"/>
    <row r="459" ht="14.1" hidden="1" customHeight="1"/>
    <row r="460" ht="14.1" hidden="1" customHeight="1"/>
    <row r="461" ht="14.1" hidden="1" customHeight="1"/>
    <row r="462" ht="14.1" hidden="1" customHeight="1"/>
    <row r="463" ht="14.1" hidden="1" customHeight="1"/>
    <row r="464" ht="14.1" hidden="1" customHeight="1"/>
    <row r="465" ht="14.1" hidden="1" customHeight="1"/>
    <row r="466" ht="14.1" hidden="1" customHeight="1"/>
    <row r="467" ht="14.1" hidden="1" customHeight="1"/>
    <row r="468" ht="14.1" hidden="1" customHeight="1"/>
    <row r="469" ht="14.1" hidden="1" customHeight="1"/>
    <row r="470" ht="14.1" hidden="1" customHeight="1"/>
    <row r="471" ht="14.1" hidden="1" customHeight="1"/>
    <row r="472" ht="14.1" hidden="1" customHeight="1"/>
    <row r="473" ht="14.1" hidden="1" customHeight="1"/>
    <row r="474" ht="14.1" hidden="1" customHeight="1"/>
    <row r="475" ht="14.1" hidden="1" customHeight="1"/>
    <row r="476" ht="14.1" hidden="1" customHeight="1"/>
    <row r="477" ht="14.1" hidden="1" customHeight="1"/>
    <row r="478" ht="14.1" hidden="1" customHeight="1"/>
    <row r="479" ht="14.1" hidden="1" customHeight="1"/>
    <row r="480" ht="14.1" hidden="1" customHeight="1"/>
    <row r="481" ht="14.1" hidden="1" customHeight="1"/>
    <row r="482" ht="14.1" hidden="1" customHeight="1"/>
    <row r="483" ht="14.1" hidden="1" customHeight="1"/>
    <row r="484" ht="14.1" hidden="1" customHeight="1"/>
    <row r="485" ht="14.1" hidden="1" customHeight="1"/>
    <row r="486" ht="14.1" hidden="1" customHeight="1"/>
    <row r="487" ht="14.1" hidden="1" customHeight="1"/>
    <row r="488" ht="14.1" hidden="1" customHeight="1"/>
    <row r="489" ht="14.1" hidden="1" customHeight="1"/>
    <row r="490" ht="14.1" hidden="1" customHeight="1"/>
    <row r="491" ht="14.1" hidden="1" customHeight="1"/>
    <row r="492" ht="14.1" hidden="1" customHeight="1"/>
    <row r="493" ht="14.1" hidden="1" customHeight="1"/>
    <row r="494" ht="14.1" hidden="1" customHeight="1"/>
    <row r="495" ht="14.1" hidden="1" customHeight="1"/>
    <row r="496" ht="14.1" hidden="1" customHeight="1"/>
    <row r="497" ht="14.1" hidden="1" customHeight="1"/>
    <row r="498" ht="14.1" hidden="1" customHeight="1"/>
    <row r="499" ht="14.1" hidden="1" customHeight="1"/>
    <row r="500" ht="14.1" hidden="1" customHeight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</sheetData>
  <sheetProtection sheet="1" objects="1" scenarios="1"/>
  <phoneticPr fontId="0" type="noConversion"/>
  <conditionalFormatting sqref="N1:N59">
    <cfRule type="expression" dxfId="55" priority="1" stopIfTrue="1">
      <formula>IF($P$2&gt;0,TRUE,FALSE)</formula>
    </cfRule>
  </conditionalFormatting>
  <conditionalFormatting sqref="A1:A1048576 E82:E84 B5:B84 F1:F1048576 B1:B3 P55 C1:D84 E1:E8 H1:M59 G1:G58 E10:E12 B85:E65536 E14:E78 E80">
    <cfRule type="expression" dxfId="54" priority="2" stopIfTrue="1">
      <formula>IF($P$2&gt;0,TRUE,FALSE)</formula>
    </cfRule>
  </conditionalFormatting>
  <conditionalFormatting sqref="B4">
    <cfRule type="expression" dxfId="53" priority="3" stopIfTrue="1">
      <formula>IF($P$2&gt;0,TRUE,FALSE)</formula>
    </cfRule>
  </conditionalFormatting>
  <conditionalFormatting sqref="E9">
    <cfRule type="expression" dxfId="52" priority="4" stopIfTrue="1">
      <formula>IF($P$2&gt;0,TRUE,FALSE)</formula>
    </cfRule>
    <cfRule type="expression" dxfId="51" priority="5" stopIfTrue="1">
      <formula>IF(S2="STANDARD",TRUE,FALSE)</formula>
    </cfRule>
  </conditionalFormatting>
  <conditionalFormatting sqref="E13">
    <cfRule type="expression" dxfId="50" priority="6" stopIfTrue="1">
      <formula>IF($P$2&gt;0,TRUE,FALSE)</formula>
    </cfRule>
    <cfRule type="expression" dxfId="49" priority="7" stopIfTrue="1">
      <formula>IF(S2="STANDARD",TRUE,FALSE)</formula>
    </cfRule>
  </conditionalFormatting>
  <conditionalFormatting sqref="E79">
    <cfRule type="expression" dxfId="48" priority="8" stopIfTrue="1">
      <formula>IF($P$2&gt;0,TRUE,FALSE)</formula>
    </cfRule>
    <cfRule type="expression" dxfId="47" priority="9" stopIfTrue="1">
      <formula>IF(S2="OPTIONAL",TRUE,FALSE)</formula>
    </cfRule>
  </conditionalFormatting>
  <conditionalFormatting sqref="E81">
    <cfRule type="expression" dxfId="46" priority="10" stopIfTrue="1">
      <formula>IF($P$2&gt;0,TRUE,FALSE)</formula>
    </cfRule>
    <cfRule type="expression" dxfId="45" priority="11" stopIfTrue="1">
      <formula>IF(S2="OPTIONAL",TRUE,FALSE)</formula>
    </cfRule>
  </conditionalFormatting>
  <conditionalFormatting sqref="G59">
    <cfRule type="expression" dxfId="44" priority="12" stopIfTrue="1">
      <formula>IF($P$2&gt;0,TRUE,FALSE)</formula>
    </cfRule>
  </conditionalFormatting>
  <conditionalFormatting sqref="G60:IV65536">
    <cfRule type="expression" dxfId="43" priority="13" stopIfTrue="1">
      <formula>IF($P$2&gt;0,TRUE,FALSE)</formula>
    </cfRule>
  </conditionalFormatting>
  <pageMargins left="0.25" right="0.25" top="0.25" bottom="0.25" header="0" footer="0"/>
  <pageSetup scale="7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IC203"/>
  <sheetViews>
    <sheetView showGridLines="0" showRowColHeaders="0" showOutlineSymbols="0" workbookViewId="0"/>
  </sheetViews>
  <sheetFormatPr defaultColWidth="0" defaultRowHeight="11.25" zeroHeight="1"/>
  <cols>
    <col min="1" max="1" width="2" style="414" customWidth="1"/>
    <col min="2" max="2" width="5.85546875" style="414" customWidth="1"/>
    <col min="3" max="3" width="21.28515625" style="435" customWidth="1"/>
    <col min="4" max="4" width="3.28515625" style="436" customWidth="1"/>
    <col min="5" max="5" width="21.28515625" style="435" customWidth="1"/>
    <col min="6" max="6" width="5.85546875" style="436" customWidth="1"/>
    <col min="7" max="7" width="2" style="414" customWidth="1"/>
    <col min="8" max="237" width="9.28515625" style="414" hidden="1" customWidth="1"/>
    <col min="238" max="16384" width="0" style="414" hidden="1"/>
  </cols>
  <sheetData>
    <row r="1" spans="1:11">
      <c r="A1" s="411"/>
      <c r="B1" s="411"/>
      <c r="C1" s="412"/>
      <c r="D1" s="413"/>
      <c r="E1" s="412"/>
      <c r="F1" s="413"/>
      <c r="G1" s="411"/>
    </row>
    <row r="2" spans="1:11">
      <c r="A2" s="411"/>
      <c r="B2" s="411" t="s">
        <v>584</v>
      </c>
      <c r="C2" s="412"/>
      <c r="D2" s="413"/>
      <c r="E2" s="415">
        <v>42</v>
      </c>
      <c r="F2" s="413"/>
      <c r="G2" s="411"/>
    </row>
    <row r="3" spans="1:11">
      <c r="A3" s="411"/>
      <c r="B3" s="411"/>
      <c r="C3" s="412"/>
      <c r="D3" s="413"/>
      <c r="E3" s="412"/>
      <c r="F3" s="413"/>
      <c r="G3" s="411"/>
    </row>
    <row r="4" spans="1:11" ht="12" customHeight="1">
      <c r="A4" s="411"/>
      <c r="B4" s="411"/>
      <c r="C4" s="412"/>
      <c r="D4" s="413"/>
      <c r="E4" s="412"/>
      <c r="F4" s="413"/>
      <c r="G4" s="411"/>
    </row>
    <row r="5" spans="1:11" ht="12" customHeight="1">
      <c r="A5" s="411"/>
      <c r="B5" s="416" t="s">
        <v>585</v>
      </c>
      <c r="C5" s="417"/>
      <c r="D5" s="418"/>
      <c r="E5" s="419"/>
      <c r="F5" s="420"/>
      <c r="G5" s="411"/>
      <c r="K5" s="421">
        <v>0</v>
      </c>
    </row>
    <row r="6" spans="1:11" ht="12" customHeight="1">
      <c r="A6" s="422"/>
      <c r="B6" s="423"/>
      <c r="C6" s="424"/>
      <c r="D6" s="422"/>
      <c r="E6" s="424"/>
      <c r="F6" s="425"/>
      <c r="G6" s="422"/>
      <c r="H6" s="426"/>
      <c r="I6" s="426"/>
      <c r="J6" s="426"/>
      <c r="K6" s="427"/>
    </row>
    <row r="7" spans="1:11" ht="12" customHeight="1">
      <c r="A7" s="422"/>
      <c r="B7" s="428" t="s">
        <v>586</v>
      </c>
      <c r="C7" s="429" t="s">
        <v>5</v>
      </c>
      <c r="D7" s="430"/>
      <c r="E7" s="431" t="s">
        <v>5</v>
      </c>
      <c r="F7" s="432" t="s">
        <v>586</v>
      </c>
      <c r="G7" s="422"/>
      <c r="H7" s="426"/>
      <c r="I7" s="426"/>
      <c r="J7" s="426"/>
      <c r="K7" s="426"/>
    </row>
    <row r="8" spans="1:11" ht="12" customHeight="1">
      <c r="A8" s="422"/>
      <c r="B8" s="433">
        <v>1</v>
      </c>
      <c r="C8" s="488" t="s">
        <v>583</v>
      </c>
      <c r="D8" s="430"/>
      <c r="E8" s="488" t="s">
        <v>631</v>
      </c>
      <c r="F8" s="428">
        <v>2</v>
      </c>
      <c r="G8" s="422"/>
      <c r="H8" s="426"/>
      <c r="I8" s="426"/>
      <c r="J8" s="426">
        <v>2</v>
      </c>
      <c r="K8" s="426">
        <f t="shared" ref="K8:K28" si="0">IF(E$2&gt;J8,1,IF(E$2=J8,1,0))</f>
        <v>1</v>
      </c>
    </row>
    <row r="9" spans="1:11" ht="12" customHeight="1">
      <c r="A9" s="422"/>
      <c r="B9" s="433">
        <v>3</v>
      </c>
      <c r="C9" s="488" t="s">
        <v>630</v>
      </c>
      <c r="D9" s="428"/>
      <c r="E9" s="488" t="s">
        <v>631</v>
      </c>
      <c r="F9" s="428">
        <v>4</v>
      </c>
      <c r="G9" s="422"/>
      <c r="H9" s="426"/>
      <c r="I9" s="426"/>
      <c r="J9" s="426">
        <f t="shared" ref="J9:J28" si="1">J8+2</f>
        <v>4</v>
      </c>
      <c r="K9" s="426">
        <f t="shared" si="0"/>
        <v>1</v>
      </c>
    </row>
    <row r="10" spans="1:11" ht="12" customHeight="1">
      <c r="A10" s="422"/>
      <c r="B10" s="433">
        <v>5</v>
      </c>
      <c r="C10" s="488" t="s">
        <v>86</v>
      </c>
      <c r="D10" s="428"/>
      <c r="E10" s="488" t="s">
        <v>631</v>
      </c>
      <c r="F10" s="428">
        <v>6</v>
      </c>
      <c r="G10" s="422"/>
      <c r="H10" s="426"/>
      <c r="I10" s="426"/>
      <c r="J10" s="426">
        <f t="shared" si="1"/>
        <v>6</v>
      </c>
      <c r="K10" s="426">
        <f t="shared" si="0"/>
        <v>1</v>
      </c>
    </row>
    <row r="11" spans="1:11" ht="12" customHeight="1">
      <c r="A11" s="422"/>
      <c r="B11" s="433">
        <v>7</v>
      </c>
      <c r="C11" s="488" t="s">
        <v>86</v>
      </c>
      <c r="D11" s="428"/>
      <c r="E11" s="488" t="s">
        <v>631</v>
      </c>
      <c r="F11" s="428">
        <v>8</v>
      </c>
      <c r="G11" s="422"/>
      <c r="H11" s="426"/>
      <c r="I11" s="426"/>
      <c r="J11" s="426">
        <f t="shared" si="1"/>
        <v>8</v>
      </c>
      <c r="K11" s="426">
        <f t="shared" si="0"/>
        <v>1</v>
      </c>
    </row>
    <row r="12" spans="1:11" ht="12" customHeight="1">
      <c r="A12" s="422"/>
      <c r="B12" s="433">
        <v>9</v>
      </c>
      <c r="C12" s="488"/>
      <c r="D12" s="428"/>
      <c r="E12" s="488"/>
      <c r="F12" s="428">
        <v>10</v>
      </c>
      <c r="G12" s="422"/>
      <c r="H12" s="426"/>
      <c r="I12" s="426"/>
      <c r="J12" s="426">
        <f t="shared" si="1"/>
        <v>10</v>
      </c>
      <c r="K12" s="426">
        <f t="shared" si="0"/>
        <v>1</v>
      </c>
    </row>
    <row r="13" spans="1:11" ht="12" customHeight="1">
      <c r="A13" s="422"/>
      <c r="B13" s="433">
        <v>11</v>
      </c>
      <c r="C13" s="488"/>
      <c r="D13" s="428"/>
      <c r="E13" s="488"/>
      <c r="F13" s="428">
        <v>12</v>
      </c>
      <c r="G13" s="422"/>
      <c r="H13" s="426"/>
      <c r="I13" s="426"/>
      <c r="J13" s="426">
        <f t="shared" si="1"/>
        <v>12</v>
      </c>
      <c r="K13" s="426">
        <f t="shared" si="0"/>
        <v>1</v>
      </c>
    </row>
    <row r="14" spans="1:11" ht="12" customHeight="1">
      <c r="A14" s="422"/>
      <c r="B14" s="433">
        <v>13</v>
      </c>
      <c r="C14" s="488"/>
      <c r="D14" s="428"/>
      <c r="E14" s="488"/>
      <c r="F14" s="428">
        <v>14</v>
      </c>
      <c r="G14" s="422"/>
      <c r="H14" s="426"/>
      <c r="I14" s="426"/>
      <c r="J14" s="426">
        <f t="shared" si="1"/>
        <v>14</v>
      </c>
      <c r="K14" s="426">
        <f t="shared" si="0"/>
        <v>1</v>
      </c>
    </row>
    <row r="15" spans="1:11" ht="12" customHeight="1">
      <c r="A15" s="422"/>
      <c r="B15" s="433">
        <v>15</v>
      </c>
      <c r="C15" s="488"/>
      <c r="D15" s="428"/>
      <c r="E15" s="488"/>
      <c r="F15" s="428">
        <v>16</v>
      </c>
      <c r="G15" s="422"/>
      <c r="H15" s="426"/>
      <c r="I15" s="426"/>
      <c r="J15" s="426">
        <f t="shared" si="1"/>
        <v>16</v>
      </c>
      <c r="K15" s="426">
        <f t="shared" si="0"/>
        <v>1</v>
      </c>
    </row>
    <row r="16" spans="1:11" ht="12" customHeight="1">
      <c r="A16" s="422"/>
      <c r="B16" s="433">
        <v>17</v>
      </c>
      <c r="C16" s="488"/>
      <c r="D16" s="428"/>
      <c r="E16" s="488"/>
      <c r="F16" s="428">
        <v>18</v>
      </c>
      <c r="G16" s="422"/>
      <c r="H16" s="426"/>
      <c r="I16" s="426"/>
      <c r="J16" s="426">
        <f t="shared" si="1"/>
        <v>18</v>
      </c>
      <c r="K16" s="426">
        <f t="shared" si="0"/>
        <v>1</v>
      </c>
    </row>
    <row r="17" spans="1:11" ht="12" customHeight="1">
      <c r="A17" s="422"/>
      <c r="B17" s="433">
        <v>19</v>
      </c>
      <c r="C17" s="434"/>
      <c r="D17" s="428"/>
      <c r="E17" s="434"/>
      <c r="F17" s="428">
        <v>20</v>
      </c>
      <c r="G17" s="422"/>
      <c r="H17" s="426"/>
      <c r="I17" s="426"/>
      <c r="J17" s="426">
        <f t="shared" si="1"/>
        <v>20</v>
      </c>
      <c r="K17" s="426">
        <f t="shared" si="0"/>
        <v>1</v>
      </c>
    </row>
    <row r="18" spans="1:11" ht="12" customHeight="1">
      <c r="A18" s="422"/>
      <c r="B18" s="433">
        <v>21</v>
      </c>
      <c r="C18" s="434"/>
      <c r="D18" s="428"/>
      <c r="E18" s="434"/>
      <c r="F18" s="428">
        <v>22</v>
      </c>
      <c r="G18" s="422"/>
      <c r="H18" s="426"/>
      <c r="I18" s="426"/>
      <c r="J18" s="426">
        <f t="shared" si="1"/>
        <v>22</v>
      </c>
      <c r="K18" s="426">
        <f t="shared" si="0"/>
        <v>1</v>
      </c>
    </row>
    <row r="19" spans="1:11" ht="12" customHeight="1">
      <c r="A19" s="422"/>
      <c r="B19" s="433">
        <v>23</v>
      </c>
      <c r="C19" s="434"/>
      <c r="D19" s="428"/>
      <c r="E19" s="434"/>
      <c r="F19" s="428">
        <v>24</v>
      </c>
      <c r="G19" s="422"/>
      <c r="H19" s="426"/>
      <c r="I19" s="426"/>
      <c r="J19" s="426">
        <f t="shared" si="1"/>
        <v>24</v>
      </c>
      <c r="K19" s="426">
        <f t="shared" si="0"/>
        <v>1</v>
      </c>
    </row>
    <row r="20" spans="1:11" ht="12" customHeight="1">
      <c r="A20" s="422"/>
      <c r="B20" s="433">
        <v>25</v>
      </c>
      <c r="C20" s="434"/>
      <c r="D20" s="428"/>
      <c r="E20" s="434"/>
      <c r="F20" s="428">
        <v>26</v>
      </c>
      <c r="G20" s="422"/>
      <c r="H20" s="426"/>
      <c r="I20" s="426"/>
      <c r="J20" s="426">
        <f t="shared" si="1"/>
        <v>26</v>
      </c>
      <c r="K20" s="426">
        <f t="shared" si="0"/>
        <v>1</v>
      </c>
    </row>
    <row r="21" spans="1:11" ht="12" customHeight="1">
      <c r="A21" s="422"/>
      <c r="B21" s="433">
        <v>27</v>
      </c>
      <c r="C21" s="434"/>
      <c r="D21" s="428"/>
      <c r="E21" s="434"/>
      <c r="F21" s="428">
        <v>28</v>
      </c>
      <c r="G21" s="422"/>
      <c r="H21" s="426"/>
      <c r="I21" s="426"/>
      <c r="J21" s="426">
        <f t="shared" si="1"/>
        <v>28</v>
      </c>
      <c r="K21" s="426">
        <f t="shared" si="0"/>
        <v>1</v>
      </c>
    </row>
    <row r="22" spans="1:11" ht="12" customHeight="1">
      <c r="A22" s="422"/>
      <c r="B22" s="433">
        <v>29</v>
      </c>
      <c r="C22" s="434"/>
      <c r="D22" s="428"/>
      <c r="E22" s="434"/>
      <c r="F22" s="428">
        <v>30</v>
      </c>
      <c r="G22" s="422"/>
      <c r="H22" s="426"/>
      <c r="I22" s="426"/>
      <c r="J22" s="426">
        <f t="shared" si="1"/>
        <v>30</v>
      </c>
      <c r="K22" s="426">
        <f t="shared" si="0"/>
        <v>1</v>
      </c>
    </row>
    <row r="23" spans="1:11" ht="12" customHeight="1">
      <c r="A23" s="422"/>
      <c r="B23" s="433">
        <v>31</v>
      </c>
      <c r="C23" s="434"/>
      <c r="D23" s="428"/>
      <c r="E23" s="434"/>
      <c r="F23" s="428">
        <v>32</v>
      </c>
      <c r="G23" s="422"/>
      <c r="H23" s="426"/>
      <c r="I23" s="426"/>
      <c r="J23" s="426">
        <f t="shared" si="1"/>
        <v>32</v>
      </c>
      <c r="K23" s="426">
        <f t="shared" si="0"/>
        <v>1</v>
      </c>
    </row>
    <row r="24" spans="1:11" ht="12" customHeight="1">
      <c r="A24" s="422"/>
      <c r="B24" s="433">
        <v>33</v>
      </c>
      <c r="C24" s="434"/>
      <c r="D24" s="428"/>
      <c r="E24" s="434"/>
      <c r="F24" s="428">
        <v>34</v>
      </c>
      <c r="G24" s="422"/>
      <c r="H24" s="426"/>
      <c r="I24" s="426"/>
      <c r="J24" s="426">
        <f t="shared" si="1"/>
        <v>34</v>
      </c>
      <c r="K24" s="426">
        <f t="shared" si="0"/>
        <v>1</v>
      </c>
    </row>
    <row r="25" spans="1:11" ht="12" customHeight="1">
      <c r="A25" s="422"/>
      <c r="B25" s="433">
        <v>35</v>
      </c>
      <c r="C25" s="434"/>
      <c r="D25" s="428"/>
      <c r="E25" s="434"/>
      <c r="F25" s="428">
        <v>36</v>
      </c>
      <c r="G25" s="422"/>
      <c r="H25" s="426"/>
      <c r="I25" s="426"/>
      <c r="J25" s="426">
        <f t="shared" si="1"/>
        <v>36</v>
      </c>
      <c r="K25" s="426">
        <f t="shared" si="0"/>
        <v>1</v>
      </c>
    </row>
    <row r="26" spans="1:11" ht="12" customHeight="1">
      <c r="A26" s="422"/>
      <c r="B26" s="433">
        <v>37</v>
      </c>
      <c r="C26" s="434"/>
      <c r="D26" s="428"/>
      <c r="E26" s="434"/>
      <c r="F26" s="428">
        <v>38</v>
      </c>
      <c r="G26" s="422"/>
      <c r="H26" s="426"/>
      <c r="I26" s="426"/>
      <c r="J26" s="426">
        <f t="shared" si="1"/>
        <v>38</v>
      </c>
      <c r="K26" s="426">
        <f t="shared" si="0"/>
        <v>1</v>
      </c>
    </row>
    <row r="27" spans="1:11" ht="12" customHeight="1">
      <c r="A27" s="422"/>
      <c r="B27" s="433">
        <v>39</v>
      </c>
      <c r="C27" s="434"/>
      <c r="D27" s="428"/>
      <c r="E27" s="434"/>
      <c r="F27" s="428">
        <v>40</v>
      </c>
      <c r="G27" s="422"/>
      <c r="H27" s="426"/>
      <c r="I27" s="426"/>
      <c r="J27" s="426">
        <f t="shared" si="1"/>
        <v>40</v>
      </c>
      <c r="K27" s="426">
        <f t="shared" si="0"/>
        <v>1</v>
      </c>
    </row>
    <row r="28" spans="1:11" ht="12" customHeight="1">
      <c r="A28" s="422"/>
      <c r="B28" s="433">
        <v>41</v>
      </c>
      <c r="C28" s="434"/>
      <c r="D28" s="428"/>
      <c r="E28" s="434"/>
      <c r="F28" s="428">
        <v>42</v>
      </c>
      <c r="G28" s="422"/>
      <c r="H28" s="426"/>
      <c r="I28" s="426"/>
      <c r="J28" s="426">
        <f t="shared" si="1"/>
        <v>42</v>
      </c>
      <c r="K28" s="426">
        <f t="shared" si="0"/>
        <v>1</v>
      </c>
    </row>
    <row r="29" spans="1:11" s="411" customFormat="1" ht="12" customHeight="1">
      <c r="C29" s="412"/>
      <c r="D29" s="413"/>
      <c r="E29" s="412"/>
      <c r="F29" s="413"/>
    </row>
    <row r="30" spans="1:11" ht="12" hidden="1" customHeight="1"/>
    <row r="31" spans="1:11" ht="12" hidden="1" customHeight="1"/>
    <row r="32" spans="1:11" ht="12" hidden="1" customHeight="1"/>
    <row r="33" ht="12" hidden="1" customHeight="1"/>
    <row r="34" ht="12" hidden="1" customHeight="1"/>
    <row r="35" ht="12" hidden="1" customHeight="1"/>
    <row r="36" ht="12" hidden="1" customHeight="1"/>
    <row r="37" ht="12" hidden="1" customHeight="1"/>
    <row r="38" ht="12" hidden="1" customHeight="1"/>
    <row r="39" ht="12" hidden="1" customHeight="1"/>
    <row r="40" ht="12" hidden="1" customHeight="1"/>
    <row r="41" ht="12" hidden="1" customHeight="1"/>
    <row r="42" ht="12" hidden="1" customHeight="1"/>
    <row r="43" ht="12" hidden="1" customHeight="1"/>
    <row r="44" ht="12" hidden="1" customHeight="1"/>
    <row r="45" ht="12" hidden="1" customHeight="1"/>
    <row r="46" ht="12" hidden="1" customHeight="1"/>
    <row r="47" ht="12" hidden="1" customHeight="1"/>
    <row r="48" ht="12" hidden="1" customHeight="1"/>
    <row r="49" ht="12" hidden="1" customHeight="1"/>
    <row r="50" ht="12" hidden="1" customHeight="1"/>
    <row r="51" ht="12" hidden="1" customHeight="1"/>
    <row r="52" ht="12" hidden="1" customHeight="1"/>
    <row r="53" ht="12" hidden="1" customHeight="1"/>
    <row r="54" ht="12" hidden="1" customHeight="1"/>
    <row r="55" ht="12" hidden="1" customHeight="1"/>
    <row r="56" ht="12" hidden="1" customHeight="1"/>
    <row r="57" ht="12" hidden="1" customHeight="1"/>
    <row r="58" ht="12" hidden="1" customHeight="1"/>
    <row r="59" ht="12" hidden="1" customHeight="1"/>
    <row r="60" ht="12" hidden="1" customHeight="1"/>
    <row r="61" ht="12" hidden="1" customHeight="1"/>
    <row r="62" ht="12" hidden="1" customHeight="1"/>
    <row r="63" ht="12" hidden="1" customHeight="1"/>
    <row r="64" ht="12" hidden="1" customHeight="1"/>
    <row r="65" ht="12" hidden="1" customHeight="1"/>
    <row r="66" ht="12" hidden="1" customHeight="1"/>
    <row r="67" ht="12" hidden="1" customHeight="1"/>
    <row r="68" ht="12" hidden="1" customHeight="1"/>
    <row r="69" ht="12" hidden="1" customHeight="1"/>
    <row r="70" ht="12" hidden="1" customHeight="1"/>
    <row r="71" ht="12" hidden="1" customHeight="1"/>
    <row r="72" ht="12" hidden="1" customHeight="1"/>
    <row r="73" ht="12" hidden="1" customHeight="1"/>
    <row r="74" ht="12" hidden="1" customHeight="1"/>
    <row r="75" ht="12" hidden="1" customHeight="1"/>
    <row r="76" ht="12" hidden="1" customHeight="1"/>
    <row r="77" ht="12" hidden="1" customHeight="1"/>
    <row r="78" ht="12" hidden="1" customHeight="1"/>
    <row r="79" ht="12" hidden="1" customHeight="1"/>
    <row r="80" ht="12" hidden="1" customHeight="1"/>
    <row r="81" ht="12" hidden="1" customHeight="1"/>
    <row r="82" ht="12" hidden="1" customHeight="1"/>
    <row r="83" ht="12" hidden="1" customHeight="1"/>
    <row r="84" ht="12" hidden="1" customHeight="1"/>
    <row r="85" ht="12" hidden="1" customHeight="1"/>
    <row r="86" ht="12" hidden="1" customHeight="1"/>
    <row r="87" ht="12" hidden="1" customHeight="1"/>
    <row r="88" ht="12" hidden="1" customHeight="1"/>
    <row r="89" ht="12" hidden="1" customHeight="1"/>
    <row r="90" ht="12" hidden="1" customHeight="1"/>
    <row r="91" ht="12" hidden="1" customHeight="1"/>
    <row r="92" ht="12" hidden="1" customHeight="1"/>
    <row r="93" ht="12" hidden="1" customHeight="1"/>
    <row r="94" ht="12" hidden="1" customHeight="1"/>
    <row r="95" ht="12" hidden="1" customHeight="1"/>
    <row r="96" ht="12" hidden="1" customHeight="1"/>
    <row r="97" ht="12" hidden="1" customHeight="1"/>
    <row r="98" ht="12" hidden="1" customHeight="1"/>
    <row r="99" ht="12" hidden="1" customHeight="1"/>
    <row r="100" ht="12" hidden="1" customHeight="1"/>
    <row r="101" ht="12" hidden="1" customHeight="1"/>
    <row r="102" ht="12" hidden="1" customHeight="1"/>
    <row r="103" ht="12" hidden="1" customHeight="1"/>
    <row r="104" ht="12" hidden="1" customHeight="1"/>
    <row r="105" ht="12" hidden="1" customHeight="1"/>
    <row r="106" ht="12" hidden="1" customHeight="1"/>
    <row r="107" ht="12" hidden="1" customHeight="1"/>
    <row r="108" ht="12" hidden="1" customHeight="1"/>
    <row r="109" ht="12" hidden="1" customHeight="1"/>
    <row r="110" ht="12" hidden="1" customHeight="1"/>
    <row r="111" ht="12" hidden="1" customHeight="1"/>
    <row r="112" ht="12" hidden="1" customHeight="1"/>
    <row r="113" ht="12" hidden="1" customHeight="1"/>
    <row r="114" ht="12" hidden="1" customHeight="1"/>
    <row r="115" ht="12" hidden="1" customHeight="1"/>
    <row r="116" ht="12" hidden="1" customHeight="1"/>
    <row r="117" ht="12" hidden="1" customHeight="1"/>
    <row r="118" ht="12" hidden="1" customHeight="1"/>
    <row r="119" ht="12" hidden="1" customHeight="1"/>
    <row r="120" ht="12" hidden="1" customHeight="1"/>
    <row r="121" ht="12" hidden="1" customHeight="1"/>
    <row r="122" ht="12" hidden="1" customHeight="1"/>
    <row r="123" ht="12" hidden="1" customHeight="1"/>
    <row r="124" ht="12" hidden="1" customHeight="1"/>
    <row r="125" ht="12" hidden="1" customHeight="1"/>
    <row r="126" ht="12" hidden="1" customHeight="1"/>
    <row r="127" ht="12" hidden="1" customHeight="1"/>
    <row r="128" ht="12" hidden="1" customHeight="1"/>
    <row r="129" ht="12" hidden="1" customHeight="1"/>
    <row r="130" ht="12" hidden="1" customHeight="1"/>
    <row r="131" ht="12" hidden="1" customHeight="1"/>
    <row r="132" ht="12" hidden="1" customHeight="1"/>
    <row r="133" ht="12" hidden="1" customHeight="1"/>
    <row r="134" ht="12" hidden="1" customHeight="1"/>
    <row r="135" ht="12" hidden="1" customHeight="1"/>
    <row r="136" ht="12" hidden="1" customHeight="1"/>
    <row r="137" ht="12" hidden="1" customHeight="1"/>
    <row r="138" ht="12" hidden="1" customHeight="1"/>
    <row r="139" ht="12" hidden="1" customHeight="1"/>
    <row r="140" ht="12" hidden="1" customHeight="1"/>
    <row r="141" ht="12" hidden="1" customHeight="1"/>
    <row r="142" ht="12" hidden="1" customHeight="1"/>
    <row r="143" ht="12" hidden="1" customHeight="1"/>
    <row r="144" ht="12" hidden="1" customHeight="1"/>
    <row r="145" ht="12" hidden="1" customHeight="1"/>
    <row r="146" ht="12" hidden="1" customHeight="1"/>
    <row r="147" ht="12" hidden="1" customHeight="1"/>
    <row r="148" ht="12" hidden="1" customHeight="1"/>
    <row r="149" ht="12" hidden="1" customHeight="1"/>
    <row r="150" ht="12" hidden="1" customHeight="1"/>
    <row r="151" ht="12" hidden="1" customHeight="1"/>
    <row r="152" ht="12" hidden="1" customHeight="1"/>
    <row r="153" ht="12" hidden="1" customHeight="1"/>
    <row r="154" ht="12" hidden="1" customHeight="1"/>
    <row r="155" ht="12" hidden="1" customHeight="1"/>
    <row r="156" ht="12" hidden="1" customHeight="1"/>
    <row r="157" ht="12" hidden="1" customHeight="1"/>
    <row r="158" ht="12" hidden="1" customHeight="1"/>
    <row r="159" ht="12" hidden="1" customHeight="1"/>
    <row r="160" ht="12" hidden="1" customHeight="1"/>
    <row r="161" ht="12" hidden="1" customHeight="1"/>
    <row r="162" ht="12" hidden="1" customHeight="1"/>
    <row r="163" ht="12" hidden="1" customHeight="1"/>
    <row r="164" ht="12" hidden="1" customHeight="1"/>
    <row r="165" ht="12" hidden="1" customHeight="1"/>
    <row r="166" ht="12" hidden="1" customHeight="1"/>
    <row r="167" ht="12" hidden="1" customHeight="1"/>
    <row r="168" ht="12" hidden="1" customHeight="1"/>
    <row r="169" ht="12" hidden="1" customHeight="1"/>
    <row r="170" ht="12" hidden="1" customHeight="1"/>
    <row r="171" ht="12" hidden="1" customHeight="1"/>
    <row r="172" ht="12" hidden="1" customHeight="1"/>
    <row r="173" ht="12" hidden="1" customHeight="1"/>
    <row r="174" ht="12" hidden="1" customHeight="1"/>
    <row r="175" ht="12" hidden="1" customHeight="1"/>
    <row r="176" ht="12" hidden="1" customHeight="1"/>
    <row r="177" ht="12" hidden="1" customHeight="1"/>
    <row r="178" ht="12" hidden="1" customHeight="1"/>
    <row r="179" ht="12" hidden="1" customHeight="1"/>
    <row r="180" ht="12" hidden="1" customHeight="1"/>
    <row r="181" ht="12" hidden="1" customHeight="1"/>
    <row r="182" ht="12" hidden="1" customHeight="1"/>
    <row r="183" ht="12" hidden="1" customHeight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</sheetData>
  <sheetProtection password="DDCA" sheet="1" objects="1" scenarios="1"/>
  <phoneticPr fontId="7" type="noConversion"/>
  <conditionalFormatting sqref="A4:A29 B4:B5 B7 G4:G29 C4:F7 B29:F29">
    <cfRule type="expression" dxfId="42" priority="1" stopIfTrue="1">
      <formula>IF($K$5&gt;0,TRUE,FALSE)</formula>
    </cfRule>
  </conditionalFormatting>
  <conditionalFormatting sqref="B6">
    <cfRule type="expression" dxfId="41" priority="2" stopIfTrue="1">
      <formula>IF($K$5&gt;0,TRUE,FALSE)</formula>
    </cfRule>
  </conditionalFormatting>
  <conditionalFormatting sqref="D8:D28">
    <cfRule type="expression" dxfId="40" priority="3" stopIfTrue="1">
      <formula>IF($K$5&gt;0,TRUE,FALSE)</formula>
    </cfRule>
    <cfRule type="expression" dxfId="39" priority="4" stopIfTrue="1">
      <formula>IF($K8=0,TRUE,FALSE)</formula>
    </cfRule>
  </conditionalFormatting>
  <conditionalFormatting sqref="B8:C28 E8:F28">
    <cfRule type="expression" dxfId="38" priority="5" stopIfTrue="1">
      <formula>IF($K$5&gt;0,TRUE,FALSE)</formula>
    </cfRule>
    <cfRule type="expression" dxfId="37" priority="6" stopIfTrue="1">
      <formula>IF($K8=0,TRUE,FALSE)</formula>
    </cfRule>
  </conditionalFormatting>
  <dataValidations xWindow="340" yWindow="187" count="1">
    <dataValidation type="list" allowBlank="1" showInputMessage="1" showErrorMessage="1" sqref="E2">
      <formula1>($J$8:$J$28)</formula1>
    </dataValidation>
  </dataValidations>
  <pageMargins left="0.5" right="0" top="0.5" bottom="0" header="0" footer="0"/>
  <pageSetup scale="90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IC210"/>
  <sheetViews>
    <sheetView showGridLines="0" showRowColHeaders="0" showOutlineSymbols="0" workbookViewId="0"/>
  </sheetViews>
  <sheetFormatPr defaultColWidth="0" defaultRowHeight="11.25" zeroHeight="1"/>
  <cols>
    <col min="1" max="1" width="2" style="437" customWidth="1"/>
    <col min="2" max="2" width="5.85546875" style="437" customWidth="1"/>
    <col min="3" max="3" width="21.28515625" style="438" customWidth="1"/>
    <col min="4" max="4" width="3.28515625" style="439" customWidth="1"/>
    <col min="5" max="5" width="21.28515625" style="438" customWidth="1"/>
    <col min="6" max="6" width="5.85546875" style="439" customWidth="1"/>
    <col min="7" max="7" width="2" style="437" customWidth="1"/>
    <col min="8" max="237" width="9.28515625" style="437" hidden="1" customWidth="1"/>
    <col min="238" max="16384" width="0" style="437" hidden="1"/>
  </cols>
  <sheetData>
    <row r="1" spans="1:11" ht="12" customHeight="1"/>
    <row r="2" spans="1:11" ht="12" customHeight="1">
      <c r="B2" s="440" t="s">
        <v>585</v>
      </c>
      <c r="C2" s="441"/>
      <c r="D2" s="442"/>
      <c r="E2" s="441" t="str">
        <f>IF(ISBLANK('Dir Input'!E5)=TRUE,"",'Dir Input'!E5)</f>
        <v/>
      </c>
      <c r="F2" s="443"/>
      <c r="K2" s="444">
        <v>0</v>
      </c>
    </row>
    <row r="3" spans="1:11" ht="12" customHeight="1">
      <c r="A3" s="445"/>
      <c r="B3" s="446"/>
      <c r="C3" s="447"/>
      <c r="D3" s="445"/>
      <c r="E3" s="447"/>
      <c r="F3" s="448"/>
      <c r="G3" s="445"/>
      <c r="H3" s="445"/>
      <c r="J3" s="445"/>
      <c r="K3" s="449"/>
    </row>
    <row r="4" spans="1:11" ht="12" customHeight="1">
      <c r="A4" s="445"/>
      <c r="B4" s="450" t="s">
        <v>586</v>
      </c>
      <c r="C4" s="451" t="s">
        <v>5</v>
      </c>
      <c r="D4" s="452"/>
      <c r="E4" s="453" t="s">
        <v>5</v>
      </c>
      <c r="F4" s="454" t="s">
        <v>586</v>
      </c>
      <c r="G4" s="445"/>
      <c r="H4" s="445"/>
      <c r="J4" s="445"/>
      <c r="K4" s="445"/>
    </row>
    <row r="5" spans="1:11" ht="12" customHeight="1">
      <c r="A5" s="445"/>
      <c r="B5" s="455">
        <v>1</v>
      </c>
      <c r="C5" s="451" t="str">
        <f>IF(ISBLANK('Dir Input'!C8)=TRUE,"",'Dir Input'!C8)</f>
        <v>CENTRAL VAC</v>
      </c>
      <c r="D5" s="452"/>
      <c r="E5" s="451" t="str">
        <f>IF(ISBLANK('Dir Input'!E8)=TRUE,"",'Dir Input'!E8)</f>
        <v>PUMP</v>
      </c>
      <c r="F5" s="450">
        <v>2</v>
      </c>
      <c r="G5" s="445"/>
      <c r="H5" s="445"/>
      <c r="I5" s="450">
        <f>'Dir Input'!E2</f>
        <v>42</v>
      </c>
      <c r="J5" s="445">
        <v>2</v>
      </c>
      <c r="K5" s="445">
        <f t="shared" ref="K5:K25" si="0">IF(I$5&gt;J5,1,IF(I$5=J5,1,0))</f>
        <v>1</v>
      </c>
    </row>
    <row r="6" spans="1:11" ht="12" customHeight="1">
      <c r="A6" s="445"/>
      <c r="B6" s="455">
        <v>3</v>
      </c>
      <c r="C6" s="451" t="str">
        <f>IF(ISBLANK('Dir Input'!C9)=TRUE,"",'Dir Input'!C9)</f>
        <v>MIRCOWAVE</v>
      </c>
      <c r="D6" s="450"/>
      <c r="E6" s="451" t="str">
        <f>IF(ISBLANK('Dir Input'!E9)=TRUE,"",'Dir Input'!E9)</f>
        <v>PUMP</v>
      </c>
      <c r="F6" s="450">
        <v>4</v>
      </c>
      <c r="G6" s="445"/>
      <c r="H6" s="445"/>
      <c r="J6" s="445">
        <f t="shared" ref="J6:J25" si="1">J5+2</f>
        <v>4</v>
      </c>
      <c r="K6" s="445">
        <f t="shared" si="0"/>
        <v>1</v>
      </c>
    </row>
    <row r="7" spans="1:11" ht="12" customHeight="1">
      <c r="A7" s="445"/>
      <c r="B7" s="455">
        <v>5</v>
      </c>
      <c r="C7" s="451" t="str">
        <f>IF(ISBLANK('Dir Input'!C10)=TRUE,"",'Dir Input'!C10)</f>
        <v>DRYER</v>
      </c>
      <c r="D7" s="450"/>
      <c r="E7" s="451" t="str">
        <f>IF(ISBLANK('Dir Input'!E10)=TRUE,"",'Dir Input'!E10)</f>
        <v>PUMP</v>
      </c>
      <c r="F7" s="450">
        <v>6</v>
      </c>
      <c r="G7" s="445"/>
      <c r="H7" s="445"/>
      <c r="J7" s="445">
        <f t="shared" si="1"/>
        <v>6</v>
      </c>
      <c r="K7" s="445">
        <f t="shared" si="0"/>
        <v>1</v>
      </c>
    </row>
    <row r="8" spans="1:11" ht="12" customHeight="1">
      <c r="A8" s="445"/>
      <c r="B8" s="455">
        <v>7</v>
      </c>
      <c r="C8" s="451" t="str">
        <f>IF(ISBLANK('Dir Input'!C11)=TRUE,"",'Dir Input'!C11)</f>
        <v>DRYER</v>
      </c>
      <c r="D8" s="450"/>
      <c r="E8" s="451" t="str">
        <f>IF(ISBLANK('Dir Input'!E11)=TRUE,"",'Dir Input'!E11)</f>
        <v>PUMP</v>
      </c>
      <c r="F8" s="450">
        <v>8</v>
      </c>
      <c r="G8" s="445"/>
      <c r="H8" s="445"/>
      <c r="J8" s="445">
        <f t="shared" si="1"/>
        <v>8</v>
      </c>
      <c r="K8" s="445">
        <f t="shared" si="0"/>
        <v>1</v>
      </c>
    </row>
    <row r="9" spans="1:11" ht="12" customHeight="1">
      <c r="A9" s="445"/>
      <c r="B9" s="455">
        <v>9</v>
      </c>
      <c r="C9" s="451" t="str">
        <f>IF(ISBLANK('Dir Input'!C12)=TRUE,"",'Dir Input'!C12)</f>
        <v/>
      </c>
      <c r="D9" s="450"/>
      <c r="E9" s="451" t="str">
        <f>IF(ISBLANK('Dir Input'!E12)=TRUE,"",'Dir Input'!E12)</f>
        <v/>
      </c>
      <c r="F9" s="450">
        <v>10</v>
      </c>
      <c r="G9" s="445"/>
      <c r="H9" s="445"/>
      <c r="I9" s="445"/>
      <c r="J9" s="445">
        <f t="shared" si="1"/>
        <v>10</v>
      </c>
      <c r="K9" s="445">
        <f t="shared" si="0"/>
        <v>1</v>
      </c>
    </row>
    <row r="10" spans="1:11" ht="12" customHeight="1">
      <c r="A10" s="445"/>
      <c r="B10" s="455">
        <v>11</v>
      </c>
      <c r="C10" s="451" t="str">
        <f>IF(ISBLANK('Dir Input'!C13)=TRUE,"",'Dir Input'!C13)</f>
        <v/>
      </c>
      <c r="D10" s="450"/>
      <c r="E10" s="451" t="str">
        <f>IF(ISBLANK('Dir Input'!E13)=TRUE,"",'Dir Input'!E13)</f>
        <v/>
      </c>
      <c r="F10" s="450">
        <v>12</v>
      </c>
      <c r="G10" s="445"/>
      <c r="H10" s="445"/>
      <c r="I10" s="445"/>
      <c r="J10" s="445">
        <f t="shared" si="1"/>
        <v>12</v>
      </c>
      <c r="K10" s="445">
        <f t="shared" si="0"/>
        <v>1</v>
      </c>
    </row>
    <row r="11" spans="1:11" ht="12" customHeight="1">
      <c r="A11" s="445"/>
      <c r="B11" s="455">
        <v>13</v>
      </c>
      <c r="C11" s="451" t="str">
        <f>IF(ISBLANK('Dir Input'!C14)=TRUE,"",'Dir Input'!C14)</f>
        <v/>
      </c>
      <c r="D11" s="450"/>
      <c r="E11" s="451" t="str">
        <f>IF(ISBLANK('Dir Input'!E14)=TRUE,"",'Dir Input'!E14)</f>
        <v/>
      </c>
      <c r="F11" s="450">
        <v>14</v>
      </c>
      <c r="G11" s="445"/>
      <c r="H11" s="445"/>
      <c r="I11" s="445"/>
      <c r="J11" s="445">
        <f t="shared" si="1"/>
        <v>14</v>
      </c>
      <c r="K11" s="445">
        <f t="shared" si="0"/>
        <v>1</v>
      </c>
    </row>
    <row r="12" spans="1:11" ht="12" customHeight="1">
      <c r="A12" s="445"/>
      <c r="B12" s="455">
        <v>15</v>
      </c>
      <c r="C12" s="451" t="str">
        <f>IF(ISBLANK('Dir Input'!C15)=TRUE,"",'Dir Input'!C15)</f>
        <v/>
      </c>
      <c r="D12" s="450"/>
      <c r="E12" s="451" t="str">
        <f>IF(ISBLANK('Dir Input'!E15)=TRUE,"",'Dir Input'!E15)</f>
        <v/>
      </c>
      <c r="F12" s="450">
        <v>16</v>
      </c>
      <c r="G12" s="445"/>
      <c r="H12" s="445"/>
      <c r="I12" s="445"/>
      <c r="J12" s="445">
        <f t="shared" si="1"/>
        <v>16</v>
      </c>
      <c r="K12" s="445">
        <f t="shared" si="0"/>
        <v>1</v>
      </c>
    </row>
    <row r="13" spans="1:11" ht="12" customHeight="1">
      <c r="A13" s="445"/>
      <c r="B13" s="455">
        <v>17</v>
      </c>
      <c r="C13" s="451" t="str">
        <f>IF(ISBLANK('Dir Input'!C16)=TRUE,"",'Dir Input'!C16)</f>
        <v/>
      </c>
      <c r="D13" s="450"/>
      <c r="E13" s="451" t="str">
        <f>IF(ISBLANK('Dir Input'!E16)=TRUE,"",'Dir Input'!E16)</f>
        <v/>
      </c>
      <c r="F13" s="450">
        <v>18</v>
      </c>
      <c r="G13" s="445"/>
      <c r="H13" s="445"/>
      <c r="I13" s="445"/>
      <c r="J13" s="445">
        <f t="shared" si="1"/>
        <v>18</v>
      </c>
      <c r="K13" s="445">
        <f t="shared" si="0"/>
        <v>1</v>
      </c>
    </row>
    <row r="14" spans="1:11" ht="12" customHeight="1">
      <c r="A14" s="445"/>
      <c r="B14" s="455">
        <v>19</v>
      </c>
      <c r="C14" s="451" t="str">
        <f>IF(ISBLANK('Dir Input'!C17)=TRUE,"",'Dir Input'!C17)</f>
        <v/>
      </c>
      <c r="D14" s="450"/>
      <c r="E14" s="451" t="str">
        <f>IF(ISBLANK('Dir Input'!E17)=TRUE,"",'Dir Input'!E17)</f>
        <v/>
      </c>
      <c r="F14" s="450">
        <v>20</v>
      </c>
      <c r="G14" s="445"/>
      <c r="H14" s="445"/>
      <c r="I14" s="445"/>
      <c r="J14" s="445">
        <f t="shared" si="1"/>
        <v>20</v>
      </c>
      <c r="K14" s="445">
        <f t="shared" si="0"/>
        <v>1</v>
      </c>
    </row>
    <row r="15" spans="1:11" ht="12" customHeight="1">
      <c r="A15" s="445"/>
      <c r="B15" s="455">
        <v>21</v>
      </c>
      <c r="C15" s="451" t="str">
        <f>IF(ISBLANK('Dir Input'!C18)=TRUE,"",'Dir Input'!C18)</f>
        <v/>
      </c>
      <c r="D15" s="450"/>
      <c r="E15" s="451" t="str">
        <f>IF(ISBLANK('Dir Input'!E18)=TRUE,"",'Dir Input'!E18)</f>
        <v/>
      </c>
      <c r="F15" s="450">
        <v>22</v>
      </c>
      <c r="G15" s="445"/>
      <c r="H15" s="445"/>
      <c r="I15" s="445"/>
      <c r="J15" s="445">
        <f t="shared" si="1"/>
        <v>22</v>
      </c>
      <c r="K15" s="445">
        <f t="shared" si="0"/>
        <v>1</v>
      </c>
    </row>
    <row r="16" spans="1:11" ht="12" customHeight="1">
      <c r="A16" s="445"/>
      <c r="B16" s="455">
        <v>23</v>
      </c>
      <c r="C16" s="451" t="str">
        <f>IF(ISBLANK('Dir Input'!C19)=TRUE,"",'Dir Input'!C19)</f>
        <v/>
      </c>
      <c r="D16" s="450"/>
      <c r="E16" s="451" t="str">
        <f>IF(ISBLANK('Dir Input'!E19)=TRUE,"",'Dir Input'!E19)</f>
        <v/>
      </c>
      <c r="F16" s="450">
        <v>24</v>
      </c>
      <c r="G16" s="445"/>
      <c r="H16" s="445"/>
      <c r="I16" s="445"/>
      <c r="J16" s="445">
        <f t="shared" si="1"/>
        <v>24</v>
      </c>
      <c r="K16" s="445">
        <f t="shared" si="0"/>
        <v>1</v>
      </c>
    </row>
    <row r="17" spans="1:11" ht="12" customHeight="1">
      <c r="A17" s="445"/>
      <c r="B17" s="455">
        <v>25</v>
      </c>
      <c r="C17" s="451" t="str">
        <f>IF(ISBLANK('Dir Input'!C20)=TRUE,"",'Dir Input'!C20)</f>
        <v/>
      </c>
      <c r="D17" s="450"/>
      <c r="E17" s="451" t="str">
        <f>IF(ISBLANK('Dir Input'!E20)=TRUE,"",'Dir Input'!E20)</f>
        <v/>
      </c>
      <c r="F17" s="450">
        <v>26</v>
      </c>
      <c r="G17" s="445"/>
      <c r="H17" s="445"/>
      <c r="I17" s="445"/>
      <c r="J17" s="445">
        <f t="shared" si="1"/>
        <v>26</v>
      </c>
      <c r="K17" s="445">
        <f t="shared" si="0"/>
        <v>1</v>
      </c>
    </row>
    <row r="18" spans="1:11" ht="12" customHeight="1">
      <c r="A18" s="445"/>
      <c r="B18" s="455">
        <v>27</v>
      </c>
      <c r="C18" s="451" t="str">
        <f>IF(ISBLANK('Dir Input'!C21)=TRUE,"",'Dir Input'!C21)</f>
        <v/>
      </c>
      <c r="D18" s="450"/>
      <c r="E18" s="451" t="str">
        <f>IF(ISBLANK('Dir Input'!E21)=TRUE,"",'Dir Input'!E21)</f>
        <v/>
      </c>
      <c r="F18" s="450">
        <v>28</v>
      </c>
      <c r="G18" s="445"/>
      <c r="H18" s="445"/>
      <c r="I18" s="445"/>
      <c r="J18" s="445">
        <f t="shared" si="1"/>
        <v>28</v>
      </c>
      <c r="K18" s="445">
        <f t="shared" si="0"/>
        <v>1</v>
      </c>
    </row>
    <row r="19" spans="1:11" ht="12" customHeight="1">
      <c r="A19" s="445"/>
      <c r="B19" s="455">
        <v>29</v>
      </c>
      <c r="C19" s="451" t="str">
        <f>IF(ISBLANK('Dir Input'!C22)=TRUE,"",'Dir Input'!C22)</f>
        <v/>
      </c>
      <c r="D19" s="450"/>
      <c r="E19" s="451" t="str">
        <f>IF(ISBLANK('Dir Input'!E22)=TRUE,"",'Dir Input'!E22)</f>
        <v/>
      </c>
      <c r="F19" s="450">
        <v>30</v>
      </c>
      <c r="G19" s="445"/>
      <c r="H19" s="445"/>
      <c r="I19" s="445"/>
      <c r="J19" s="445">
        <f t="shared" si="1"/>
        <v>30</v>
      </c>
      <c r="K19" s="445">
        <f t="shared" si="0"/>
        <v>1</v>
      </c>
    </row>
    <row r="20" spans="1:11" ht="12" customHeight="1">
      <c r="A20" s="445"/>
      <c r="B20" s="455">
        <v>31</v>
      </c>
      <c r="C20" s="451" t="str">
        <f>IF(ISBLANK('Dir Input'!C23)=TRUE,"",'Dir Input'!C23)</f>
        <v/>
      </c>
      <c r="D20" s="450"/>
      <c r="E20" s="451" t="str">
        <f>IF(ISBLANK('Dir Input'!E23)=TRUE,"",'Dir Input'!E23)</f>
        <v/>
      </c>
      <c r="F20" s="450">
        <v>32</v>
      </c>
      <c r="G20" s="445"/>
      <c r="H20" s="445"/>
      <c r="I20" s="445"/>
      <c r="J20" s="445">
        <f t="shared" si="1"/>
        <v>32</v>
      </c>
      <c r="K20" s="445">
        <f t="shared" si="0"/>
        <v>1</v>
      </c>
    </row>
    <row r="21" spans="1:11" ht="12" customHeight="1">
      <c r="A21" s="445"/>
      <c r="B21" s="455">
        <v>33</v>
      </c>
      <c r="C21" s="451" t="str">
        <f>IF(ISBLANK('Dir Input'!C24)=TRUE,"",'Dir Input'!C24)</f>
        <v/>
      </c>
      <c r="D21" s="450"/>
      <c r="E21" s="451" t="str">
        <f>IF(ISBLANK('Dir Input'!E24)=TRUE,"",'Dir Input'!E24)</f>
        <v/>
      </c>
      <c r="F21" s="450">
        <v>34</v>
      </c>
      <c r="G21" s="445"/>
      <c r="H21" s="445"/>
      <c r="I21" s="445"/>
      <c r="J21" s="445">
        <f t="shared" si="1"/>
        <v>34</v>
      </c>
      <c r="K21" s="445">
        <f t="shared" si="0"/>
        <v>1</v>
      </c>
    </row>
    <row r="22" spans="1:11" ht="12" customHeight="1">
      <c r="A22" s="445"/>
      <c r="B22" s="455">
        <v>35</v>
      </c>
      <c r="C22" s="451" t="str">
        <f>IF(ISBLANK('Dir Input'!C25)=TRUE,"",'Dir Input'!C25)</f>
        <v/>
      </c>
      <c r="D22" s="450"/>
      <c r="E22" s="451" t="str">
        <f>IF(ISBLANK('Dir Input'!E25)=TRUE,"",'Dir Input'!E25)</f>
        <v/>
      </c>
      <c r="F22" s="450">
        <v>36</v>
      </c>
      <c r="G22" s="445"/>
      <c r="H22" s="445"/>
      <c r="I22" s="445"/>
      <c r="J22" s="445">
        <f t="shared" si="1"/>
        <v>36</v>
      </c>
      <c r="K22" s="445">
        <f t="shared" si="0"/>
        <v>1</v>
      </c>
    </row>
    <row r="23" spans="1:11" ht="12" customHeight="1">
      <c r="A23" s="445"/>
      <c r="B23" s="455">
        <v>37</v>
      </c>
      <c r="C23" s="451" t="str">
        <f>IF(ISBLANK('Dir Input'!C26)=TRUE,"",'Dir Input'!C26)</f>
        <v/>
      </c>
      <c r="D23" s="450"/>
      <c r="E23" s="451" t="str">
        <f>IF(ISBLANK('Dir Input'!E26)=TRUE,"",'Dir Input'!E26)</f>
        <v/>
      </c>
      <c r="F23" s="450">
        <v>38</v>
      </c>
      <c r="G23" s="445"/>
      <c r="H23" s="445"/>
      <c r="I23" s="445"/>
      <c r="J23" s="445">
        <f t="shared" si="1"/>
        <v>38</v>
      </c>
      <c r="K23" s="445">
        <f t="shared" si="0"/>
        <v>1</v>
      </c>
    </row>
    <row r="24" spans="1:11" ht="12" customHeight="1">
      <c r="A24" s="445"/>
      <c r="B24" s="455">
        <v>39</v>
      </c>
      <c r="C24" s="451" t="str">
        <f>IF(ISBLANK('Dir Input'!C27)=TRUE,"",'Dir Input'!C27)</f>
        <v/>
      </c>
      <c r="D24" s="450"/>
      <c r="E24" s="451" t="str">
        <f>IF(ISBLANK('Dir Input'!E27)=TRUE,"",'Dir Input'!E27)</f>
        <v/>
      </c>
      <c r="F24" s="450">
        <v>40</v>
      </c>
      <c r="G24" s="445"/>
      <c r="H24" s="445"/>
      <c r="I24" s="445"/>
      <c r="J24" s="445">
        <f t="shared" si="1"/>
        <v>40</v>
      </c>
      <c r="K24" s="445">
        <f t="shared" si="0"/>
        <v>1</v>
      </c>
    </row>
    <row r="25" spans="1:11" ht="12" customHeight="1">
      <c r="A25" s="445"/>
      <c r="B25" s="455">
        <v>41</v>
      </c>
      <c r="C25" s="451" t="str">
        <f>IF(ISBLANK('Dir Input'!C28)=TRUE,"",'Dir Input'!C28)</f>
        <v/>
      </c>
      <c r="D25" s="450"/>
      <c r="E25" s="451" t="str">
        <f>IF(ISBLANK('Dir Input'!E28)=TRUE,"",'Dir Input'!E28)</f>
        <v/>
      </c>
      <c r="F25" s="450">
        <v>42</v>
      </c>
      <c r="G25" s="445"/>
      <c r="H25" s="445"/>
      <c r="I25" s="445"/>
      <c r="J25" s="445">
        <f t="shared" si="1"/>
        <v>42</v>
      </c>
      <c r="K25" s="445">
        <f t="shared" si="0"/>
        <v>1</v>
      </c>
    </row>
    <row r="26" spans="1:11" ht="12" customHeight="1">
      <c r="I26" s="445"/>
    </row>
    <row r="27" spans="1:11" ht="12" hidden="1" customHeight="1">
      <c r="I27" s="445"/>
    </row>
    <row r="28" spans="1:11" ht="12" hidden="1" customHeight="1">
      <c r="I28" s="445"/>
    </row>
    <row r="29" spans="1:11" ht="12" hidden="1" customHeight="1">
      <c r="I29" s="445"/>
    </row>
    <row r="30" spans="1:11" ht="12" hidden="1" customHeight="1">
      <c r="I30" s="445"/>
    </row>
    <row r="31" spans="1:11" ht="12" hidden="1" customHeight="1">
      <c r="I31" s="445"/>
    </row>
    <row r="32" spans="1:11" ht="12" hidden="1" customHeight="1"/>
    <row r="33" ht="12" hidden="1" customHeight="1"/>
    <row r="34" ht="12" hidden="1" customHeight="1"/>
    <row r="35" ht="12" hidden="1" customHeight="1"/>
    <row r="36" ht="12" hidden="1" customHeight="1"/>
    <row r="37" ht="12" hidden="1" customHeight="1"/>
    <row r="38" ht="12" hidden="1" customHeight="1"/>
    <row r="39" ht="12" hidden="1" customHeight="1"/>
    <row r="40" ht="12" hidden="1" customHeight="1"/>
    <row r="41" ht="12" hidden="1" customHeight="1"/>
    <row r="42" ht="12" hidden="1" customHeight="1"/>
    <row r="43" ht="12" hidden="1" customHeight="1"/>
    <row r="44" ht="12" hidden="1" customHeight="1"/>
    <row r="45" ht="12" hidden="1" customHeight="1"/>
    <row r="46" ht="12" hidden="1" customHeight="1"/>
    <row r="47" ht="12" hidden="1" customHeight="1"/>
    <row r="48" ht="12" hidden="1" customHeight="1"/>
    <row r="49" ht="12" hidden="1" customHeight="1"/>
    <row r="50" ht="12" hidden="1" customHeight="1"/>
    <row r="51" ht="12" hidden="1" customHeight="1"/>
    <row r="52" ht="12" hidden="1" customHeight="1"/>
    <row r="53" ht="12" hidden="1" customHeight="1"/>
    <row r="54" ht="12" hidden="1" customHeight="1"/>
    <row r="55" ht="12" hidden="1" customHeight="1"/>
    <row r="56" ht="12" hidden="1" customHeight="1"/>
    <row r="57" ht="12" hidden="1" customHeight="1"/>
    <row r="58" ht="12" hidden="1" customHeight="1"/>
    <row r="59" ht="12" hidden="1" customHeight="1"/>
    <row r="60" ht="12" hidden="1" customHeight="1"/>
    <row r="61" ht="12" hidden="1" customHeight="1"/>
    <row r="62" ht="12" hidden="1" customHeight="1"/>
    <row r="63" ht="12" hidden="1" customHeight="1"/>
    <row r="64" ht="12" hidden="1" customHeight="1"/>
    <row r="65" ht="12" hidden="1" customHeight="1"/>
    <row r="66" ht="12" hidden="1" customHeight="1"/>
    <row r="67" ht="12" hidden="1" customHeight="1"/>
    <row r="68" ht="12" hidden="1" customHeight="1"/>
    <row r="69" ht="12" hidden="1" customHeight="1"/>
    <row r="70" ht="12" hidden="1" customHeight="1"/>
    <row r="71" ht="12" hidden="1" customHeight="1"/>
    <row r="72" ht="12" hidden="1" customHeight="1"/>
    <row r="73" ht="12" hidden="1" customHeight="1"/>
    <row r="74" ht="12" hidden="1" customHeight="1"/>
    <row r="75" ht="12" hidden="1" customHeight="1"/>
    <row r="76" ht="12" hidden="1" customHeight="1"/>
    <row r="77" ht="12" hidden="1" customHeight="1"/>
    <row r="78" ht="12" hidden="1" customHeight="1"/>
    <row r="79" ht="12" hidden="1" customHeight="1"/>
    <row r="80" ht="12" hidden="1" customHeight="1"/>
    <row r="81" ht="12" hidden="1" customHeight="1"/>
    <row r="82" ht="12" hidden="1" customHeight="1"/>
    <row r="83" ht="12" hidden="1" customHeight="1"/>
    <row r="84" ht="12" hidden="1" customHeight="1"/>
    <row r="85" ht="12" hidden="1" customHeight="1"/>
    <row r="86" ht="12" hidden="1" customHeight="1"/>
    <row r="87" ht="12" hidden="1" customHeight="1"/>
    <row r="88" ht="12" hidden="1" customHeight="1"/>
    <row r="89" ht="12" hidden="1" customHeight="1"/>
    <row r="90" ht="12" hidden="1" customHeight="1"/>
    <row r="91" ht="12" hidden="1" customHeight="1"/>
    <row r="92" ht="12" hidden="1" customHeight="1"/>
    <row r="93" ht="12" hidden="1" customHeight="1"/>
    <row r="94" ht="12" hidden="1" customHeight="1"/>
    <row r="95" ht="12" hidden="1" customHeight="1"/>
    <row r="96" ht="12" hidden="1" customHeight="1"/>
    <row r="97" ht="12" hidden="1" customHeight="1"/>
    <row r="98" ht="12" hidden="1" customHeight="1"/>
    <row r="99" ht="12" hidden="1" customHeight="1"/>
    <row r="100" ht="12" hidden="1" customHeight="1"/>
    <row r="101" ht="12" hidden="1" customHeight="1"/>
    <row r="102" ht="12" hidden="1" customHeight="1"/>
    <row r="103" ht="12" hidden="1" customHeight="1"/>
    <row r="104" ht="12" hidden="1" customHeight="1"/>
    <row r="105" ht="12" hidden="1" customHeight="1"/>
    <row r="106" ht="12" hidden="1" customHeight="1"/>
    <row r="107" ht="12" hidden="1" customHeight="1"/>
    <row r="108" ht="12" hidden="1" customHeight="1"/>
    <row r="109" ht="12" hidden="1" customHeight="1"/>
    <row r="110" ht="12" hidden="1" customHeight="1"/>
    <row r="111" ht="12" hidden="1" customHeight="1"/>
    <row r="112" ht="12" hidden="1" customHeight="1"/>
    <row r="113" ht="12" hidden="1" customHeight="1"/>
    <row r="114" ht="12" hidden="1" customHeight="1"/>
    <row r="115" ht="12" hidden="1" customHeight="1"/>
    <row r="116" ht="12" hidden="1" customHeight="1"/>
    <row r="117" ht="12" hidden="1" customHeight="1"/>
    <row r="118" ht="12" hidden="1" customHeight="1"/>
    <row r="119" ht="12" hidden="1" customHeight="1"/>
    <row r="120" ht="12" hidden="1" customHeight="1"/>
    <row r="121" ht="12" hidden="1" customHeight="1"/>
    <row r="122" ht="12" hidden="1" customHeight="1"/>
    <row r="123" ht="12" hidden="1" customHeight="1"/>
    <row r="124" ht="12" hidden="1" customHeight="1"/>
    <row r="125" ht="12" hidden="1" customHeight="1"/>
    <row r="126" ht="12" hidden="1" customHeight="1"/>
    <row r="127" ht="12" hidden="1" customHeight="1"/>
    <row r="128" ht="12" hidden="1" customHeight="1"/>
    <row r="129" ht="12" hidden="1" customHeight="1"/>
    <row r="130" ht="12" hidden="1" customHeight="1"/>
    <row r="131" ht="12" hidden="1" customHeight="1"/>
    <row r="132" ht="12" hidden="1" customHeight="1"/>
    <row r="133" ht="12" hidden="1" customHeight="1"/>
    <row r="134" ht="12" hidden="1" customHeight="1"/>
    <row r="135" ht="12" hidden="1" customHeight="1"/>
    <row r="136" ht="12" hidden="1" customHeight="1"/>
    <row r="137" ht="12" hidden="1" customHeight="1"/>
    <row r="138" ht="12" hidden="1" customHeight="1"/>
    <row r="139" ht="12" hidden="1" customHeight="1"/>
    <row r="140" ht="12" hidden="1" customHeight="1"/>
    <row r="141" ht="12" hidden="1" customHeight="1"/>
    <row r="142" ht="12" hidden="1" customHeight="1"/>
    <row r="143" ht="12" hidden="1" customHeight="1"/>
    <row r="144" ht="12" hidden="1" customHeight="1"/>
    <row r="145" ht="12" hidden="1" customHeight="1"/>
    <row r="146" ht="12" hidden="1" customHeight="1"/>
    <row r="147" ht="12" hidden="1" customHeight="1"/>
    <row r="148" ht="12" hidden="1" customHeight="1"/>
    <row r="149" ht="12" hidden="1" customHeight="1"/>
    <row r="150" ht="12" hidden="1" customHeight="1"/>
    <row r="151" ht="12" hidden="1" customHeight="1"/>
    <row r="152" ht="12" hidden="1" customHeight="1"/>
    <row r="153" ht="12" hidden="1" customHeight="1"/>
    <row r="154" ht="12" hidden="1" customHeight="1"/>
    <row r="155" ht="12" hidden="1" customHeight="1"/>
    <row r="156" ht="12" hidden="1" customHeight="1"/>
    <row r="157" ht="12" hidden="1" customHeight="1"/>
    <row r="158" ht="12" hidden="1" customHeight="1"/>
    <row r="159" ht="12" hidden="1" customHeight="1"/>
    <row r="160" ht="12" hidden="1" customHeight="1"/>
    <row r="161" ht="12" hidden="1" customHeight="1"/>
    <row r="162" ht="12" hidden="1" customHeight="1"/>
    <row r="163" ht="12" hidden="1" customHeight="1"/>
    <row r="164" ht="12" hidden="1" customHeight="1"/>
    <row r="165" ht="12" hidden="1" customHeight="1"/>
    <row r="166" ht="12" hidden="1" customHeight="1"/>
    <row r="167" ht="12" hidden="1" customHeight="1"/>
    <row r="168" ht="12" hidden="1" customHeight="1"/>
    <row r="169" ht="12" hidden="1" customHeight="1"/>
    <row r="170" ht="12" hidden="1" customHeight="1"/>
    <row r="171" ht="12" hidden="1" customHeight="1"/>
    <row r="172" ht="12" hidden="1" customHeight="1"/>
    <row r="173" ht="12" hidden="1" customHeight="1"/>
    <row r="174" ht="12" hidden="1" customHeight="1"/>
    <row r="175" ht="12" hidden="1" customHeight="1"/>
    <row r="176" ht="12" hidden="1" customHeight="1"/>
    <row r="177" ht="12" hidden="1" customHeight="1"/>
    <row r="178" ht="12" hidden="1" customHeight="1"/>
    <row r="179" ht="12" hidden="1" customHeight="1"/>
    <row r="180" ht="12" hidden="1" customHeight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</sheetData>
  <sheetProtection sheet="1" objects="1" scenarios="1"/>
  <phoneticPr fontId="7" type="noConversion"/>
  <conditionalFormatting sqref="A1:A26 B1:B2 B4 G1:G26 C1:F4 B26:F26">
    <cfRule type="expression" dxfId="36" priority="1" stopIfTrue="1">
      <formula>IF($K$2&gt;0,TRUE,FALSE)</formula>
    </cfRule>
  </conditionalFormatting>
  <conditionalFormatting sqref="B3">
    <cfRule type="expression" dxfId="35" priority="2" stopIfTrue="1">
      <formula>IF($K$2&gt;0,TRUE,FALSE)</formula>
    </cfRule>
  </conditionalFormatting>
  <conditionalFormatting sqref="B5:F25">
    <cfRule type="expression" dxfId="34" priority="3" stopIfTrue="1">
      <formula>IF($K$2&gt;0,TRUE,FALSE)</formula>
    </cfRule>
    <cfRule type="expression" dxfId="33" priority="4" stopIfTrue="1">
      <formula>IF($K5=0,TRUE,FALSE)</formula>
    </cfRule>
  </conditionalFormatting>
  <pageMargins left="0.5" right="0" top="0.5" bottom="0" header="0" footer="0"/>
  <pageSetup scale="90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T573"/>
  <sheetViews>
    <sheetView showOutlineSymbols="0" workbookViewId="0">
      <selection activeCell="G51" sqref="G51"/>
    </sheetView>
  </sheetViews>
  <sheetFormatPr defaultColWidth="0" defaultRowHeight="11.25" zeroHeight="1"/>
  <cols>
    <col min="1" max="1" width="2.7109375" style="51" customWidth="1"/>
    <col min="2" max="2" width="14.140625" style="51" customWidth="1"/>
    <col min="3" max="3" width="27.7109375" style="51" customWidth="1"/>
    <col min="4" max="4" width="5" style="51" customWidth="1"/>
    <col min="5" max="5" width="10.7109375" style="51" customWidth="1"/>
    <col min="6" max="6" width="3.42578125" style="51" customWidth="1"/>
    <col min="7" max="7" width="11.85546875" style="51" customWidth="1"/>
    <col min="8" max="8" width="2.7109375" style="51" customWidth="1"/>
    <col min="9" max="10" width="3.7109375" style="51" customWidth="1"/>
    <col min="11" max="11" width="2.7109375" style="51" customWidth="1"/>
    <col min="12" max="12" width="16" style="51" customWidth="1"/>
    <col min="13" max="13" width="10.42578125" style="51" customWidth="1"/>
    <col min="14" max="14" width="7.85546875" style="51" customWidth="1"/>
    <col min="15" max="37" width="10.7109375" style="51" customWidth="1"/>
    <col min="38" max="42" width="10.7109375" style="322" customWidth="1"/>
    <col min="43" max="59" width="10.7109375" style="51" customWidth="1"/>
    <col min="60" max="60" width="23.85546875" style="51" customWidth="1"/>
    <col min="61" max="235" width="10.7109375" style="51" customWidth="1"/>
    <col min="236" max="16384" width="0" style="51" hidden="1"/>
  </cols>
  <sheetData>
    <row r="1" spans="2:72">
      <c r="E1" s="321"/>
      <c r="P1" s="49"/>
      <c r="R1" s="51" t="s">
        <v>544</v>
      </c>
      <c r="S1" s="51">
        <f>Input!E7</f>
        <v>2008</v>
      </c>
      <c r="AD1" s="51" t="s">
        <v>291</v>
      </c>
    </row>
    <row r="2" spans="2:72">
      <c r="B2" s="323" t="s">
        <v>29</v>
      </c>
      <c r="F2" s="324"/>
      <c r="G2" s="325" t="s">
        <v>0</v>
      </c>
      <c r="H2" s="325"/>
      <c r="I2" s="325"/>
      <c r="J2" s="325"/>
      <c r="K2" s="325"/>
      <c r="L2" s="51" t="str">
        <f>IF(ISBLANK(Input!E4)=TRUE,"NO ENTRY",Input!E4)</f>
        <v>SAMPLE</v>
      </c>
      <c r="P2" s="49">
        <f>Input!O121+P3</f>
        <v>0</v>
      </c>
      <c r="U2" s="51" t="s">
        <v>491</v>
      </c>
      <c r="AB2" s="326" t="s">
        <v>79</v>
      </c>
      <c r="AC2" s="327"/>
      <c r="AD2" s="327"/>
      <c r="AE2" s="327"/>
      <c r="AF2" s="327"/>
      <c r="AG2" s="327"/>
      <c r="AH2" s="327"/>
      <c r="AI2" s="327"/>
      <c r="AJ2" s="327"/>
      <c r="AK2" s="328"/>
    </row>
    <row r="3" spans="2:72">
      <c r="B3" s="368" t="str">
        <f>IF(S1=2005,"BASED ON THE 2005 NEC SECTION 220.82",IF(S1=2008,"BASED ON THE 2008 NEC SECTION 220.82","BASED ON THE 2002 NEC SECTION 220.30"))</f>
        <v>BASED ON THE 2008 NEC SECTION 220.82</v>
      </c>
      <c r="C3" s="367"/>
      <c r="F3" s="324"/>
      <c r="G3" s="325" t="s">
        <v>454</v>
      </c>
      <c r="H3" s="325"/>
      <c r="I3" s="325"/>
      <c r="J3" s="325"/>
      <c r="K3" s="325"/>
      <c r="L3" s="51" t="str">
        <f>IF(ISBLANK(Input!J8)=TRUE,"NO ENTRY",Input!J8)</f>
        <v>SP1</v>
      </c>
      <c r="P3" s="51">
        <f>Input!R1</f>
        <v>0</v>
      </c>
      <c r="U3" s="51" t="s">
        <v>493</v>
      </c>
      <c r="AA3" s="51">
        <v>1</v>
      </c>
      <c r="AB3" s="329" t="str">
        <f>IF(ISBLANK(Input!D82)=TRUE,"",Input!D82)</f>
        <v>MIRCOWAVE</v>
      </c>
      <c r="AC3" s="330">
        <f>Input!E82</f>
        <v>2</v>
      </c>
      <c r="AD3" s="331" t="s">
        <v>76</v>
      </c>
      <c r="AE3" s="331">
        <f>Input!F82</f>
        <v>9.5</v>
      </c>
      <c r="AF3" s="331" t="s">
        <v>290</v>
      </c>
      <c r="AG3" s="332">
        <f>Input!Q$5</f>
        <v>120</v>
      </c>
      <c r="AH3" s="331" t="s">
        <v>415</v>
      </c>
      <c r="AI3" s="331" t="str">
        <f t="shared" ref="AI3:AI36" si="0">IF(AC3=0,"",CONCATENATE(AB3,AD$1,AC3,AD3,AE3,AF3,AG3,AH3))</f>
        <v xml:space="preserve">MIRCOWAVE ( 2 X 9.5 A X 120 V ) = </v>
      </c>
      <c r="AJ3" s="331"/>
      <c r="AK3" s="333">
        <f t="shared" ref="AK3:AK26" si="1">IF(AC3=0,"",ROUND((AC3*AE3*AG3),0))</f>
        <v>2280</v>
      </c>
      <c r="BH3" s="51" t="s">
        <v>566</v>
      </c>
      <c r="BI3" s="51" t="s">
        <v>291</v>
      </c>
      <c r="BJ3" s="335" t="str">
        <f>IF(Input!E33=0,"",Input!E33)</f>
        <v/>
      </c>
      <c r="BK3" s="51" t="s">
        <v>76</v>
      </c>
      <c r="BL3" s="322">
        <f>Input!F33*1000</f>
        <v>0</v>
      </c>
      <c r="BM3" s="51" t="s">
        <v>556</v>
      </c>
      <c r="BN3" s="322"/>
      <c r="BP3" s="51">
        <f>IF(BJ14&gt;3,0.75,1)</f>
        <v>1</v>
      </c>
      <c r="BQ3" s="51" t="s">
        <v>260</v>
      </c>
      <c r="BR3" s="334" t="str">
        <f>IF(BJ3="","",ROUND(BJ3*BL3*BP3,0))</f>
        <v/>
      </c>
      <c r="BS3" s="51" t="s">
        <v>488</v>
      </c>
    </row>
    <row r="4" spans="2:72">
      <c r="B4" s="51" t="s">
        <v>66</v>
      </c>
      <c r="G4" s="51" t="s">
        <v>66</v>
      </c>
      <c r="U4" s="51" t="s">
        <v>495</v>
      </c>
      <c r="AA4" s="51">
        <f t="shared" ref="AA4:AA36" si="2">AA3+1</f>
        <v>2</v>
      </c>
      <c r="AB4" s="329" t="str">
        <f>IF(ISBLANK(Input!D83)=TRUE,"",Input!D83)</f>
        <v>CENTRAL VAC</v>
      </c>
      <c r="AC4" s="331">
        <f>Input!E83</f>
        <v>1</v>
      </c>
      <c r="AD4" s="331" t="s">
        <v>76</v>
      </c>
      <c r="AE4" s="331">
        <f>Input!F83</f>
        <v>12</v>
      </c>
      <c r="AF4" s="331" t="s">
        <v>290</v>
      </c>
      <c r="AG4" s="332">
        <f>Input!Q$5</f>
        <v>120</v>
      </c>
      <c r="AH4" s="331" t="s">
        <v>415</v>
      </c>
      <c r="AI4" s="331" t="str">
        <f t="shared" si="0"/>
        <v xml:space="preserve">CENTRAL VAC ( 1 X 12 A X 120 V ) = </v>
      </c>
      <c r="AJ4" s="331"/>
      <c r="AK4" s="333">
        <f t="shared" si="1"/>
        <v>1440</v>
      </c>
      <c r="BH4" s="51" t="str">
        <f>IF(ISBLANK(Input!D37)=TRUE,"",Input!D37)</f>
        <v>CENTRAL VAC</v>
      </c>
      <c r="BI4" s="51" t="s">
        <v>291</v>
      </c>
      <c r="BJ4" s="51">
        <f>IF(Input!E37=0,"",Input!E37)</f>
        <v>1</v>
      </c>
      <c r="BK4" s="51" t="s">
        <v>76</v>
      </c>
      <c r="BL4" s="322">
        <f>IF(ISBLANK(Input!F37)=TRUE,"",Input!F37)</f>
        <v>12</v>
      </c>
      <c r="BM4" s="51" t="s">
        <v>76</v>
      </c>
      <c r="BN4" s="322">
        <f>Input!J5</f>
        <v>120</v>
      </c>
      <c r="BO4" s="51" t="s">
        <v>76</v>
      </c>
      <c r="BP4" s="51">
        <f t="shared" ref="BP4:BP13" si="3">BP3</f>
        <v>1</v>
      </c>
      <c r="BQ4" s="51" t="s">
        <v>260</v>
      </c>
      <c r="BR4" s="334">
        <f t="shared" ref="BR4:BR13" si="4">IF(BJ4="","",(BJ4*BL4*BN4*BP4))</f>
        <v>1440</v>
      </c>
      <c r="BS4" s="51" t="s">
        <v>488</v>
      </c>
    </row>
    <row r="5" spans="2:72">
      <c r="B5" s="323" t="str">
        <f>IF(S1=2002,"GENERAL LOADS NEC 220.30(B)","GENERAL LOADS NEC 220.82(B)")</f>
        <v>GENERAL LOADS NEC 220.82(B)</v>
      </c>
      <c r="G5" s="375" t="str">
        <f>IF(S1&lt;&gt;2002,"HEATING &amp; COOLING LOADS - NEC 220.82(C)","HEATING &amp; COOLING LOADS - NEC 220.30(C)")</f>
        <v>HEATING &amp; COOLING LOADS - NEC 220.82(C)</v>
      </c>
      <c r="H5" s="370"/>
      <c r="I5" s="370"/>
      <c r="J5" s="370"/>
      <c r="K5" s="370"/>
      <c r="L5" s="370"/>
      <c r="M5" s="370" t="s">
        <v>66</v>
      </c>
      <c r="AA5" s="51">
        <f t="shared" si="2"/>
        <v>3</v>
      </c>
      <c r="AB5" s="329" t="str">
        <f>IF(ISBLANK(Input!D84)=TRUE,"",Input!D84)</f>
        <v/>
      </c>
      <c r="AC5" s="331">
        <f>Input!E84</f>
        <v>0</v>
      </c>
      <c r="AD5" s="331" t="s">
        <v>76</v>
      </c>
      <c r="AE5" s="331">
        <f>Input!F84</f>
        <v>0</v>
      </c>
      <c r="AF5" s="331" t="s">
        <v>290</v>
      </c>
      <c r="AG5" s="332">
        <f>Input!Q$5</f>
        <v>120</v>
      </c>
      <c r="AH5" s="331" t="s">
        <v>415</v>
      </c>
      <c r="AI5" s="331" t="str">
        <f t="shared" si="0"/>
        <v/>
      </c>
      <c r="AJ5" s="331"/>
      <c r="AK5" s="333" t="str">
        <f t="shared" si="1"/>
        <v/>
      </c>
      <c r="BH5" s="51" t="str">
        <f>IF(ISBLANK(Input!D38)=TRUE,"",Input!D38)</f>
        <v/>
      </c>
      <c r="BI5" s="51" t="s">
        <v>291</v>
      </c>
      <c r="BJ5" s="51" t="str">
        <f>IF(Input!E38=0,"",Input!E38)</f>
        <v/>
      </c>
      <c r="BK5" s="51" t="s">
        <v>76</v>
      </c>
      <c r="BL5" s="322" t="str">
        <f>IF(ISBLANK(Input!F38)=TRUE,"",Input!F38)</f>
        <v/>
      </c>
      <c r="BM5" s="51" t="s">
        <v>76</v>
      </c>
      <c r="BN5" s="322">
        <f t="shared" ref="BN5:BN13" si="5">BN4</f>
        <v>120</v>
      </c>
      <c r="BO5" s="51" t="s">
        <v>76</v>
      </c>
      <c r="BP5" s="51">
        <f t="shared" si="3"/>
        <v>1</v>
      </c>
      <c r="BQ5" s="51" t="s">
        <v>260</v>
      </c>
      <c r="BR5" s="334" t="str">
        <f t="shared" si="4"/>
        <v/>
      </c>
      <c r="BS5" s="51" t="s">
        <v>488</v>
      </c>
    </row>
    <row r="6" spans="2:72">
      <c r="B6" s="51" t="str">
        <f>U6</f>
        <v xml:space="preserve">TOTAL SQ FOOTAGE ( 600 SQ FT X 3 VA ) = </v>
      </c>
      <c r="D6" s="334"/>
      <c r="E6" s="321">
        <f>Input!J10*3</f>
        <v>1800</v>
      </c>
      <c r="G6" s="370" t="str">
        <f>AJ84</f>
        <v>(1) AC LOAD ( 4,000 VA X 100% ) = 4,000 VA</v>
      </c>
      <c r="H6" s="370"/>
      <c r="I6" s="370"/>
      <c r="J6" s="370"/>
      <c r="K6" s="370"/>
      <c r="L6" s="370"/>
      <c r="M6" s="370" t="str">
        <f>IF(AV93&gt;0,"&lt; &lt; LARGEST","")</f>
        <v>&lt; &lt; LARGEST</v>
      </c>
      <c r="Q6" s="335" t="str">
        <f>TEXT(Input!J10,"#,##0")</f>
        <v>600</v>
      </c>
      <c r="R6" s="51" t="s">
        <v>492</v>
      </c>
      <c r="U6" s="336" t="str">
        <f>CONCATENATE(,U2,Q6,R6,S6,T6)</f>
        <v xml:space="preserve">TOTAL SQ FOOTAGE ( 600 SQ FT X 3 VA ) = </v>
      </c>
      <c r="AA6" s="51">
        <f t="shared" si="2"/>
        <v>4</v>
      </c>
      <c r="AB6" s="329" t="str">
        <f>IF(ISBLANK(Input!D85)=TRUE,"",Input!D85)</f>
        <v/>
      </c>
      <c r="AC6" s="331">
        <f>Input!E85</f>
        <v>0</v>
      </c>
      <c r="AD6" s="331" t="s">
        <v>76</v>
      </c>
      <c r="AE6" s="331">
        <f>Input!F85</f>
        <v>0</v>
      </c>
      <c r="AF6" s="331" t="s">
        <v>290</v>
      </c>
      <c r="AG6" s="332">
        <f>Input!Q$5</f>
        <v>120</v>
      </c>
      <c r="AH6" s="331" t="s">
        <v>415</v>
      </c>
      <c r="AI6" s="331" t="str">
        <f t="shared" si="0"/>
        <v/>
      </c>
      <c r="AJ6" s="331"/>
      <c r="AK6" s="333" t="str">
        <f t="shared" si="1"/>
        <v/>
      </c>
      <c r="AT6" s="51" t="s">
        <v>477</v>
      </c>
      <c r="AU6" s="335">
        <f>Input!E31</f>
        <v>0</v>
      </c>
      <c r="BH6" s="51" t="str">
        <f>IF(ISBLANK(Input!D39)=TRUE,"",Input!D39)</f>
        <v/>
      </c>
      <c r="BI6" s="51" t="s">
        <v>291</v>
      </c>
      <c r="BJ6" s="51" t="str">
        <f>IF(Input!E39=0,"",Input!E39)</f>
        <v/>
      </c>
      <c r="BK6" s="51" t="s">
        <v>76</v>
      </c>
      <c r="BL6" s="322" t="str">
        <f>IF(ISBLANK(Input!F39)=TRUE,"",Input!F39)</f>
        <v/>
      </c>
      <c r="BM6" s="51" t="s">
        <v>76</v>
      </c>
      <c r="BN6" s="322">
        <f t="shared" si="5"/>
        <v>120</v>
      </c>
      <c r="BO6" s="51" t="s">
        <v>76</v>
      </c>
      <c r="BP6" s="51">
        <f t="shared" si="3"/>
        <v>1</v>
      </c>
      <c r="BQ6" s="51" t="s">
        <v>260</v>
      </c>
      <c r="BR6" s="334" t="str">
        <f t="shared" si="4"/>
        <v/>
      </c>
      <c r="BS6" s="51" t="s">
        <v>488</v>
      </c>
    </row>
    <row r="7" spans="2:72">
      <c r="B7" s="51" t="str">
        <f>U7</f>
        <v xml:space="preserve">APPLIANCE CIRCUITS ( 0 X 1,500 VA ) = </v>
      </c>
      <c r="D7" s="334"/>
      <c r="E7" s="321">
        <f>Input!J11*1500</f>
        <v>0</v>
      </c>
      <c r="G7" s="370" t="str">
        <f>AJ85</f>
        <v>(2) HEAT PUMPS NO SUPP ( 0 VA X 100% ) = 0 VA</v>
      </c>
      <c r="H7" s="370"/>
      <c r="I7" s="370"/>
      <c r="J7" s="370"/>
      <c r="K7" s="370"/>
      <c r="L7" s="370"/>
      <c r="M7" s="370" t="str">
        <f>IF(AV94&gt;0,"&lt; &lt; LARGEST","")</f>
        <v/>
      </c>
      <c r="Q7" s="337">
        <f>Input!J11</f>
        <v>0</v>
      </c>
      <c r="R7" s="51" t="s">
        <v>494</v>
      </c>
      <c r="U7" s="336" t="str">
        <f>CONCATENATE(U3,Q7,R7,S7,T7)</f>
        <v xml:space="preserve">APPLIANCE CIRCUITS ( 0 X 1,500 VA ) = </v>
      </c>
      <c r="AA7" s="51">
        <f t="shared" si="2"/>
        <v>5</v>
      </c>
      <c r="AB7" s="329" t="str">
        <f>IF(ISBLANK(Input!D86)=TRUE,"",Input!D86)</f>
        <v/>
      </c>
      <c r="AC7" s="331">
        <f>Input!E86</f>
        <v>0</v>
      </c>
      <c r="AD7" s="331" t="s">
        <v>76</v>
      </c>
      <c r="AE7" s="331">
        <f>Input!F86</f>
        <v>0</v>
      </c>
      <c r="AF7" s="331" t="s">
        <v>290</v>
      </c>
      <c r="AG7" s="332">
        <f>Input!Q$5</f>
        <v>120</v>
      </c>
      <c r="AH7" s="331" t="s">
        <v>415</v>
      </c>
      <c r="AI7" s="331" t="str">
        <f t="shared" si="0"/>
        <v/>
      </c>
      <c r="AJ7" s="331"/>
      <c r="AK7" s="333" t="str">
        <f t="shared" si="1"/>
        <v/>
      </c>
      <c r="AT7" s="51" t="s">
        <v>133</v>
      </c>
      <c r="AU7" s="51">
        <f>Input!F31</f>
        <v>0</v>
      </c>
      <c r="BH7" s="51" t="str">
        <f>IF(ISBLANK(Input!D40)=TRUE,"",Input!D40)</f>
        <v/>
      </c>
      <c r="BI7" s="51" t="s">
        <v>291</v>
      </c>
      <c r="BJ7" s="51" t="str">
        <f>IF(Input!E40=0,"",Input!E40)</f>
        <v/>
      </c>
      <c r="BK7" s="51" t="s">
        <v>76</v>
      </c>
      <c r="BL7" s="322" t="str">
        <f>IF(ISBLANK(Input!F40)=TRUE,"",Input!F40)</f>
        <v/>
      </c>
      <c r="BM7" s="51" t="s">
        <v>76</v>
      </c>
      <c r="BN7" s="322">
        <f t="shared" si="5"/>
        <v>120</v>
      </c>
      <c r="BO7" s="51" t="s">
        <v>76</v>
      </c>
      <c r="BP7" s="51">
        <f t="shared" si="3"/>
        <v>1</v>
      </c>
      <c r="BQ7" s="51" t="s">
        <v>260</v>
      </c>
      <c r="BR7" s="334" t="str">
        <f t="shared" si="4"/>
        <v/>
      </c>
      <c r="BS7" s="51" t="s">
        <v>488</v>
      </c>
    </row>
    <row r="8" spans="2:72">
      <c r="B8" s="51" t="str">
        <f>U8</f>
        <v xml:space="preserve">LAUNDRY CIRCUITS ( 1 X 1,500 VA ) = </v>
      </c>
      <c r="D8" s="334"/>
      <c r="E8" s="321">
        <f>Input!J12*1500</f>
        <v>1500</v>
      </c>
      <c r="G8" s="370" t="str">
        <f>AJ86</f>
        <v>(3) HEAT PUMPS ( 0 VA X 100% ) = 0 VA</v>
      </c>
      <c r="H8" s="370"/>
      <c r="I8" s="370"/>
      <c r="J8" s="370"/>
      <c r="K8" s="370"/>
      <c r="L8" s="370"/>
      <c r="M8" s="370" t="str">
        <f>IF(AV95&gt;0,"&lt; &lt; LARGEST","")</f>
        <v/>
      </c>
      <c r="Q8" s="337">
        <f>Input!J12</f>
        <v>1</v>
      </c>
      <c r="R8" s="51" t="s">
        <v>494</v>
      </c>
      <c r="U8" s="336" t="str">
        <f>CONCATENATE(U4,Q8,R8,S8,T8)</f>
        <v xml:space="preserve">LAUNDRY CIRCUITS ( 1 X 1,500 VA ) = </v>
      </c>
      <c r="AA8" s="51">
        <f t="shared" si="2"/>
        <v>6</v>
      </c>
      <c r="AB8" s="329" t="str">
        <f>IF(ISBLANK(Input!D87)=TRUE,"",Input!D87)</f>
        <v/>
      </c>
      <c r="AC8" s="331">
        <f>Input!E87</f>
        <v>0</v>
      </c>
      <c r="AD8" s="331" t="s">
        <v>76</v>
      </c>
      <c r="AE8" s="331">
        <f>Input!F87</f>
        <v>0</v>
      </c>
      <c r="AF8" s="331" t="s">
        <v>290</v>
      </c>
      <c r="AG8" s="332">
        <f>Input!Q$5</f>
        <v>120</v>
      </c>
      <c r="AH8" s="331" t="s">
        <v>415</v>
      </c>
      <c r="AI8" s="331" t="str">
        <f t="shared" si="0"/>
        <v/>
      </c>
      <c r="AJ8" s="331"/>
      <c r="AK8" s="333" t="str">
        <f t="shared" si="1"/>
        <v/>
      </c>
      <c r="AT8" s="51" t="s">
        <v>77</v>
      </c>
      <c r="AU8" s="49">
        <f>Input!J9</f>
        <v>1</v>
      </c>
      <c r="BH8" s="51" t="str">
        <f>IF(ISBLANK(Input!D41)=TRUE,"",Input!D41)</f>
        <v/>
      </c>
      <c r="BI8" s="51" t="s">
        <v>291</v>
      </c>
      <c r="BJ8" s="51" t="str">
        <f>IF(Input!E41=0,"",Input!E41)</f>
        <v/>
      </c>
      <c r="BK8" s="51" t="s">
        <v>76</v>
      </c>
      <c r="BL8" s="322" t="str">
        <f>IF(ISBLANK(Input!F41)=TRUE,"",Input!F41)</f>
        <v/>
      </c>
      <c r="BM8" s="51" t="s">
        <v>76</v>
      </c>
      <c r="BN8" s="322">
        <f t="shared" si="5"/>
        <v>120</v>
      </c>
      <c r="BO8" s="51" t="s">
        <v>76</v>
      </c>
      <c r="BP8" s="51">
        <f t="shared" si="3"/>
        <v>1</v>
      </c>
      <c r="BQ8" s="51" t="s">
        <v>260</v>
      </c>
      <c r="BR8" s="334" t="str">
        <f t="shared" si="4"/>
        <v/>
      </c>
      <c r="BS8" s="51" t="s">
        <v>488</v>
      </c>
    </row>
    <row r="9" spans="2:72">
      <c r="B9" s="51" t="s">
        <v>66</v>
      </c>
      <c r="D9" s="334"/>
      <c r="E9" s="321" t="s">
        <v>66</v>
      </c>
      <c r="G9" s="370" t="str">
        <f>IF(S1&lt;&gt;2008,"      CONTINUOUS AT THE FULL NAMEPLATE VALUE",BA86)</f>
        <v xml:space="preserve">      SUPPLEMENTAL HEAT ( 0 VA X 65% ) = 0 VA</v>
      </c>
      <c r="H9" s="370"/>
      <c r="I9" s="370"/>
      <c r="J9" s="370"/>
      <c r="K9" s="370"/>
      <c r="L9" s="370"/>
      <c r="M9" s="370" t="str">
        <f>IF(S1&lt;&gt;2008,"",IF(AV95&gt;0,"&lt; &lt; LARGEST",""))</f>
        <v/>
      </c>
      <c r="Q9" s="337">
        <f>Input!E31</f>
        <v>0</v>
      </c>
      <c r="R9" s="51" t="s">
        <v>76</v>
      </c>
      <c r="S9" s="51" t="str">
        <f>TEXT(Input!F31*1000,"#,##0")</f>
        <v>0</v>
      </c>
      <c r="T9" s="51" t="s">
        <v>78</v>
      </c>
      <c r="U9" s="51" t="str">
        <f>CONCATENATE(Q9,R9,S9,T9)</f>
        <v xml:space="preserve">0 X 0 VA = </v>
      </c>
      <c r="AA9" s="51">
        <f t="shared" si="2"/>
        <v>7</v>
      </c>
      <c r="AB9" s="329" t="str">
        <f>IF(ISBLANK(Input!D88)=TRUE,"",Input!D88)</f>
        <v/>
      </c>
      <c r="AC9" s="331">
        <f>Input!E88</f>
        <v>0</v>
      </c>
      <c r="AD9" s="331" t="s">
        <v>76</v>
      </c>
      <c r="AE9" s="331">
        <f>Input!F88</f>
        <v>0</v>
      </c>
      <c r="AF9" s="331" t="s">
        <v>290</v>
      </c>
      <c r="AG9" s="332">
        <f>Input!Q$5</f>
        <v>120</v>
      </c>
      <c r="AH9" s="331" t="s">
        <v>415</v>
      </c>
      <c r="AI9" s="331" t="str">
        <f t="shared" si="0"/>
        <v/>
      </c>
      <c r="AJ9" s="331"/>
      <c r="AK9" s="333" t="str">
        <f t="shared" si="1"/>
        <v/>
      </c>
      <c r="AT9" s="51" t="s">
        <v>490</v>
      </c>
      <c r="AU9" s="51">
        <f>CEILING(AU6/3,1)*2</f>
        <v>0</v>
      </c>
      <c r="BH9" s="51" t="str">
        <f>IF(ISBLANK(Input!D42)=TRUE,"",Input!D42)</f>
        <v/>
      </c>
      <c r="BI9" s="51" t="s">
        <v>291</v>
      </c>
      <c r="BJ9" s="51" t="str">
        <f>IF(Input!E42=0,"",Input!E42)</f>
        <v/>
      </c>
      <c r="BK9" s="51" t="s">
        <v>76</v>
      </c>
      <c r="BL9" s="322" t="str">
        <f>IF(ISBLANK(Input!F42)=TRUE,"",Input!F42)</f>
        <v/>
      </c>
      <c r="BM9" s="51" t="s">
        <v>76</v>
      </c>
      <c r="BN9" s="322">
        <f t="shared" si="5"/>
        <v>120</v>
      </c>
      <c r="BO9" s="51" t="s">
        <v>76</v>
      </c>
      <c r="BP9" s="51">
        <f t="shared" si="3"/>
        <v>1</v>
      </c>
      <c r="BQ9" s="51" t="s">
        <v>260</v>
      </c>
      <c r="BR9" s="334" t="str">
        <f t="shared" si="4"/>
        <v/>
      </c>
      <c r="BS9" s="51" t="s">
        <v>488</v>
      </c>
    </row>
    <row r="10" spans="2:72">
      <c r="B10" s="51" t="s">
        <v>66</v>
      </c>
      <c r="D10" s="334"/>
      <c r="E10" s="321" t="s">
        <v>66</v>
      </c>
      <c r="G10" s="370" t="str">
        <f>AN87</f>
        <v>(4) ELECTRIC SPACE ( 0 VA X 65% ) = 0 VA</v>
      </c>
      <c r="H10" s="370"/>
      <c r="I10" s="370"/>
      <c r="J10" s="370"/>
      <c r="K10" s="370"/>
      <c r="L10" s="370"/>
      <c r="M10" s="370" t="str">
        <f>IF(AV96&gt;0,"&lt; &lt; LARGEST","")</f>
        <v/>
      </c>
      <c r="Q10" s="337">
        <f>Input!E32</f>
        <v>1</v>
      </c>
      <c r="R10" s="51" t="s">
        <v>76</v>
      </c>
      <c r="S10" s="51" t="str">
        <f>TEXT(Input!F32*1000,"#,##0")</f>
        <v>5,000</v>
      </c>
      <c r="T10" s="51" t="s">
        <v>78</v>
      </c>
      <c r="U10" s="51" t="str">
        <f>CONCATENATE(Q10,R10,S10,T10)</f>
        <v xml:space="preserve">1 X 5,000 VA = </v>
      </c>
      <c r="AA10" s="51">
        <f t="shared" si="2"/>
        <v>8</v>
      </c>
      <c r="AB10" s="329" t="str">
        <f>IF(ISBLANK(Input!D89)=TRUE,"",Input!D89)</f>
        <v/>
      </c>
      <c r="AC10" s="331">
        <f>Input!E89</f>
        <v>0</v>
      </c>
      <c r="AD10" s="331" t="s">
        <v>76</v>
      </c>
      <c r="AE10" s="331">
        <f>Input!F89</f>
        <v>0</v>
      </c>
      <c r="AF10" s="331" t="s">
        <v>290</v>
      </c>
      <c r="AG10" s="332">
        <f>Input!Q$5</f>
        <v>120</v>
      </c>
      <c r="AH10" s="331" t="s">
        <v>415</v>
      </c>
      <c r="AI10" s="331" t="str">
        <f t="shared" si="0"/>
        <v/>
      </c>
      <c r="AJ10" s="331"/>
      <c r="AK10" s="333" t="str">
        <f t="shared" si="1"/>
        <v/>
      </c>
      <c r="BH10" s="51" t="str">
        <f>IF(ISBLANK(Input!D43)=TRUE,"",Input!D43)</f>
        <v/>
      </c>
      <c r="BI10" s="51" t="s">
        <v>291</v>
      </c>
      <c r="BJ10" s="51" t="str">
        <f>IF(Input!E43=0,"",Input!E43)</f>
        <v/>
      </c>
      <c r="BK10" s="51" t="s">
        <v>76</v>
      </c>
      <c r="BL10" s="322" t="str">
        <f>IF(ISBLANK(Input!F43)=TRUE,"",Input!F43)</f>
        <v/>
      </c>
      <c r="BM10" s="51" t="s">
        <v>76</v>
      </c>
      <c r="BN10" s="322">
        <f t="shared" si="5"/>
        <v>120</v>
      </c>
      <c r="BO10" s="51" t="s">
        <v>76</v>
      </c>
      <c r="BP10" s="51">
        <f t="shared" si="3"/>
        <v>1</v>
      </c>
      <c r="BQ10" s="51" t="s">
        <v>260</v>
      </c>
      <c r="BR10" s="334" t="str">
        <f t="shared" si="4"/>
        <v/>
      </c>
      <c r="BS10" s="51" t="s">
        <v>488</v>
      </c>
    </row>
    <row r="11" spans="2:72">
      <c r="B11" s="51" t="s">
        <v>66</v>
      </c>
      <c r="D11" s="334"/>
      <c r="E11" s="321" t="s">
        <v>66</v>
      </c>
      <c r="G11" s="370" t="str">
        <f>IF(S1=2008,"      LESS THAN FOUR SEPARATELY CONTROLLED UNITS.",IF(S1=2002,"",BA89))</f>
        <v xml:space="preserve">      LESS THAN FOUR SEPARATELY CONTROLLED UNITS.</v>
      </c>
      <c r="H11" s="370"/>
      <c r="I11" s="370"/>
      <c r="J11" s="370"/>
      <c r="K11" s="370"/>
      <c r="L11" s="370"/>
      <c r="M11" s="370" t="str">
        <f>IF(S1&lt;&gt;2005,"",IF(AV96&gt;0,"&lt; &lt; LARGEST",""))</f>
        <v/>
      </c>
      <c r="Q11" s="337">
        <f>Input!E33</f>
        <v>0</v>
      </c>
      <c r="R11" s="51" t="s">
        <v>76</v>
      </c>
      <c r="S11" s="51" t="str">
        <f>TEXT(Input!F33*1000,"#,##0")</f>
        <v>0</v>
      </c>
      <c r="T11" s="51" t="s">
        <v>496</v>
      </c>
      <c r="U11" s="51" t="str">
        <f>CONCATENATE(U13,Q11,R11,S11,T11)</f>
        <v xml:space="preserve">WATER HEATERS ( 0 X 0 VA ) = </v>
      </c>
      <c r="AA11" s="51">
        <f t="shared" si="2"/>
        <v>9</v>
      </c>
      <c r="AB11" s="329" t="str">
        <f>IF(ISBLANK(Input!D90)=TRUE,"",Input!D90)</f>
        <v/>
      </c>
      <c r="AC11" s="331">
        <f>Input!E90</f>
        <v>0</v>
      </c>
      <c r="AD11" s="331" t="s">
        <v>76</v>
      </c>
      <c r="AE11" s="331">
        <f>Input!F90</f>
        <v>0</v>
      </c>
      <c r="AF11" s="331" t="s">
        <v>290</v>
      </c>
      <c r="AG11" s="332">
        <f>Input!Q$5</f>
        <v>120</v>
      </c>
      <c r="AH11" s="331" t="s">
        <v>415</v>
      </c>
      <c r="AI11" s="331" t="str">
        <f t="shared" si="0"/>
        <v/>
      </c>
      <c r="AJ11" s="331"/>
      <c r="AK11" s="333" t="str">
        <f t="shared" si="1"/>
        <v/>
      </c>
      <c r="AT11" s="51" t="str">
        <f>IF(AU6=1,"RANGE ( ","RANGES ( ")</f>
        <v xml:space="preserve">RANGES ( </v>
      </c>
      <c r="AU11" s="339">
        <f>IF(AU8=1,AU6,IF(AND(AU6=1,AU8="3Y"),1,AU9))</f>
        <v>0</v>
      </c>
      <c r="AV11" s="51" t="str">
        <f>IF(AND(AU6=1,AU8=1)," RANGE X ",IF(AND(AU8=1,AU6&gt;1)," RANGES X "," ON ANY 2 PHASES ) = "))</f>
        <v xml:space="preserve"> ON ANY 2 PHASES ) = </v>
      </c>
      <c r="AW11" s="51">
        <f>IF(AU8=1,AU7*1000,AU11*AU7*1000)</f>
        <v>0</v>
      </c>
      <c r="AX11" s="51" t="str">
        <f>IF(AU8=1," VA ) = "," KVA")</f>
        <v xml:space="preserve"> VA ) = </v>
      </c>
      <c r="AY11" s="51">
        <f>IF(AU8=1,AW11*AU11,"")</f>
        <v>0</v>
      </c>
      <c r="BH11" s="51" t="str">
        <f>IF(ISBLANK(Input!D44)=TRUE,"",Input!D44)</f>
        <v/>
      </c>
      <c r="BI11" s="51" t="s">
        <v>291</v>
      </c>
      <c r="BJ11" s="51" t="str">
        <f>IF(Input!E44=0,"",Input!E44)</f>
        <v/>
      </c>
      <c r="BK11" s="51" t="s">
        <v>76</v>
      </c>
      <c r="BL11" s="322" t="str">
        <f>IF(ISBLANK(Input!F44)=TRUE,"",Input!F44)</f>
        <v/>
      </c>
      <c r="BM11" s="51" t="s">
        <v>76</v>
      </c>
      <c r="BN11" s="322">
        <f t="shared" si="5"/>
        <v>120</v>
      </c>
      <c r="BO11" s="51" t="s">
        <v>76</v>
      </c>
      <c r="BP11" s="51">
        <f t="shared" si="3"/>
        <v>1</v>
      </c>
      <c r="BQ11" s="51" t="s">
        <v>260</v>
      </c>
      <c r="BR11" s="334" t="str">
        <f t="shared" si="4"/>
        <v/>
      </c>
      <c r="BS11" s="51" t="s">
        <v>488</v>
      </c>
    </row>
    <row r="12" spans="2:72">
      <c r="B12" s="51" t="s">
        <v>66</v>
      </c>
      <c r="D12" s="334"/>
      <c r="E12" s="321" t="s">
        <v>66</v>
      </c>
      <c r="G12" s="370" t="str">
        <f>AJ88</f>
        <v>(5) SPACE HEATING ( 0 VA X 40% ) = 0 VA</v>
      </c>
      <c r="H12" s="370"/>
      <c r="I12" s="370"/>
      <c r="J12" s="370"/>
      <c r="K12" s="370"/>
      <c r="L12" s="370"/>
      <c r="M12" s="370" t="str">
        <f>IF(AV97&gt;0,"&lt; &lt; LARGEST","")</f>
        <v/>
      </c>
      <c r="AA12" s="51">
        <f t="shared" si="2"/>
        <v>10</v>
      </c>
      <c r="AB12" s="329" t="str">
        <f>IF(ISBLANK(Input!D91)=TRUE,"",Input!D91)</f>
        <v/>
      </c>
      <c r="AC12" s="331">
        <f>Input!E91</f>
        <v>0</v>
      </c>
      <c r="AD12" s="331" t="s">
        <v>76</v>
      </c>
      <c r="AE12" s="331">
        <f>Input!F91</f>
        <v>0</v>
      </c>
      <c r="AF12" s="331" t="s">
        <v>290</v>
      </c>
      <c r="AG12" s="332">
        <f>Input!Q$5</f>
        <v>120</v>
      </c>
      <c r="AH12" s="331" t="s">
        <v>415</v>
      </c>
      <c r="AI12" s="331" t="str">
        <f t="shared" si="0"/>
        <v/>
      </c>
      <c r="AJ12" s="331"/>
      <c r="AK12" s="333" t="str">
        <f t="shared" si="1"/>
        <v/>
      </c>
      <c r="AT12" s="51" t="str">
        <f>AT11</f>
        <v xml:space="preserve">RANGES ( </v>
      </c>
      <c r="AU12" s="339" t="str">
        <f>TEXT(AU11,"0")</f>
        <v>0</v>
      </c>
      <c r="AV12" s="51" t="str">
        <f>AV11</f>
        <v xml:space="preserve"> ON ANY 2 PHASES ) = </v>
      </c>
      <c r="AW12" s="334" t="str">
        <f>TEXT(AW11,"#,##0")</f>
        <v>0</v>
      </c>
      <c r="AX12" s="51" t="str">
        <f>AX11</f>
        <v xml:space="preserve"> VA ) = </v>
      </c>
      <c r="BA12" s="51" t="str">
        <f>CONCATENATE(AT12,AU12,AV12,AW12,AX12)</f>
        <v xml:space="preserve">RANGES ( 0 ON ANY 2 PHASES ) = 0 VA ) = </v>
      </c>
      <c r="BH12" s="51" t="str">
        <f>IF(ISBLANK(Input!D45)=TRUE,"",Input!D45)</f>
        <v/>
      </c>
      <c r="BI12" s="51" t="s">
        <v>291</v>
      </c>
      <c r="BJ12" s="51" t="str">
        <f>IF(Input!E45=0,"",Input!E45)</f>
        <v/>
      </c>
      <c r="BK12" s="51" t="s">
        <v>76</v>
      </c>
      <c r="BL12" s="322" t="str">
        <f>IF(ISBLANK(Input!F45)=TRUE,"",Input!F45)</f>
        <v/>
      </c>
      <c r="BM12" s="51" t="s">
        <v>76</v>
      </c>
      <c r="BN12" s="322">
        <f t="shared" si="5"/>
        <v>120</v>
      </c>
      <c r="BO12" s="51" t="s">
        <v>76</v>
      </c>
      <c r="BP12" s="51">
        <f t="shared" si="3"/>
        <v>1</v>
      </c>
      <c r="BQ12" s="51" t="s">
        <v>260</v>
      </c>
      <c r="BR12" s="334" t="str">
        <f t="shared" si="4"/>
        <v/>
      </c>
      <c r="BS12" s="51" t="s">
        <v>488</v>
      </c>
    </row>
    <row r="13" spans="2:72">
      <c r="B13" s="51" t="s">
        <v>66</v>
      </c>
      <c r="D13" s="334"/>
      <c r="E13" s="321" t="s">
        <v>66</v>
      </c>
      <c r="G13" s="370" t="str">
        <f>IF(S1&lt;&gt;2008,"      LESS THAN FOUR SEPARATELY CONTROLLED UNITS.","      MORE THAN FOUR SEPARATELY CONTROLLED UNITS.")</f>
        <v xml:space="preserve">      MORE THAN FOUR SEPARATELY CONTROLLED UNITS.</v>
      </c>
      <c r="H13" s="370"/>
      <c r="I13" s="370"/>
      <c r="J13" s="370"/>
      <c r="K13" s="370"/>
      <c r="L13" s="370"/>
      <c r="M13" s="370" t="s">
        <v>66</v>
      </c>
      <c r="U13" s="51" t="s">
        <v>562</v>
      </c>
      <c r="AA13" s="51">
        <f t="shared" si="2"/>
        <v>11</v>
      </c>
      <c r="AB13" s="329" t="str">
        <f>IF(ISBLANK(Input!D92)=TRUE,"",Input!D92)</f>
        <v/>
      </c>
      <c r="AC13" s="331">
        <f>Input!E92</f>
        <v>0</v>
      </c>
      <c r="AD13" s="331" t="s">
        <v>76</v>
      </c>
      <c r="AE13" s="331">
        <f>Input!F92</f>
        <v>0</v>
      </c>
      <c r="AF13" s="331" t="s">
        <v>290</v>
      </c>
      <c r="AG13" s="332">
        <f>Input!Q$5</f>
        <v>120</v>
      </c>
      <c r="AH13" s="331" t="s">
        <v>415</v>
      </c>
      <c r="AI13" s="331" t="str">
        <f t="shared" si="0"/>
        <v/>
      </c>
      <c r="AJ13" s="331"/>
      <c r="AK13" s="333" t="str">
        <f t="shared" si="1"/>
        <v/>
      </c>
      <c r="BH13" s="51" t="str">
        <f>IF(ISBLANK(Input!D46)=TRUE,"",Input!D46)</f>
        <v/>
      </c>
      <c r="BI13" s="51" t="s">
        <v>291</v>
      </c>
      <c r="BJ13" s="51" t="str">
        <f>IF(Input!E46=0,"",Input!E46)</f>
        <v/>
      </c>
      <c r="BK13" s="51" t="s">
        <v>76</v>
      </c>
      <c r="BL13" s="322" t="str">
        <f>IF(ISBLANK(Input!F46)=TRUE,"",Input!F46)</f>
        <v/>
      </c>
      <c r="BM13" s="51" t="s">
        <v>76</v>
      </c>
      <c r="BN13" s="322">
        <f t="shared" si="5"/>
        <v>120</v>
      </c>
      <c r="BO13" s="51" t="s">
        <v>76</v>
      </c>
      <c r="BP13" s="51">
        <f t="shared" si="3"/>
        <v>1</v>
      </c>
      <c r="BQ13" s="51" t="s">
        <v>260</v>
      </c>
      <c r="BR13" s="334" t="str">
        <f t="shared" si="4"/>
        <v/>
      </c>
      <c r="BS13" s="51" t="s">
        <v>488</v>
      </c>
    </row>
    <row r="14" spans="2:72">
      <c r="B14" s="51" t="s">
        <v>66</v>
      </c>
      <c r="D14" s="334"/>
      <c r="E14" s="321" t="s">
        <v>66</v>
      </c>
      <c r="G14" s="370" t="str">
        <f>AJ89</f>
        <v>(6) SPACE HEATING (0 VA X 100% ) = 0 VA</v>
      </c>
      <c r="H14" s="370"/>
      <c r="I14" s="370"/>
      <c r="J14" s="370"/>
      <c r="K14" s="370"/>
      <c r="L14" s="370"/>
      <c r="M14" s="370" t="str">
        <f>IF(AV98&gt;0,"&lt; &lt; LARGEST","")</f>
        <v/>
      </c>
      <c r="AA14" s="51">
        <f t="shared" si="2"/>
        <v>12</v>
      </c>
      <c r="AB14" s="329" t="str">
        <f>IF(ISBLANK(Input!D93)=TRUE,"",Input!D93)</f>
        <v/>
      </c>
      <c r="AC14" s="331">
        <f>Input!E93</f>
        <v>0</v>
      </c>
      <c r="AD14" s="331" t="s">
        <v>76</v>
      </c>
      <c r="AE14" s="331">
        <f>Input!F93</f>
        <v>0</v>
      </c>
      <c r="AF14" s="331" t="s">
        <v>290</v>
      </c>
      <c r="AG14" s="332">
        <f>Input!Q$5</f>
        <v>120</v>
      </c>
      <c r="AH14" s="331" t="s">
        <v>415</v>
      </c>
      <c r="AI14" s="331" t="str">
        <f t="shared" si="0"/>
        <v/>
      </c>
      <c r="AJ14" s="331"/>
      <c r="AK14" s="333" t="str">
        <f t="shared" si="1"/>
        <v/>
      </c>
      <c r="AT14" s="51" t="s">
        <v>487</v>
      </c>
      <c r="AU14" s="51">
        <f>AW11</f>
        <v>0</v>
      </c>
      <c r="AV14" s="51" t="str">
        <f>IF(AND(AU6=1,AU8="3Y"),""," VA ÷ 2 ) = ")</f>
        <v xml:space="preserve"> VA ÷ 2 ) = </v>
      </c>
      <c r="AW14" s="51">
        <f>AU14/2</f>
        <v>0</v>
      </c>
      <c r="AX14" s="51" t="s">
        <v>488</v>
      </c>
      <c r="BJ14" s="335">
        <v>1</v>
      </c>
      <c r="BL14" s="322"/>
      <c r="BN14" s="322"/>
      <c r="BR14" s="334"/>
    </row>
    <row r="15" spans="2:72">
      <c r="B15" s="51" t="str">
        <f>BA12</f>
        <v xml:space="preserve">RANGES ( 0 ON ANY 2 PHASES ) = 0 VA ) = </v>
      </c>
      <c r="D15" s="334"/>
      <c r="E15" s="321">
        <f>AY11</f>
        <v>0</v>
      </c>
      <c r="G15" s="370" t="str">
        <f>IF(S1&lt;&gt;2008,"      MORE THAN FOUR SEPARATELY CONTROLLED UNITS.","      CONTINUOUS AT THE FULL NAMEPLATE VALUE.")</f>
        <v xml:space="preserve">      CONTINUOUS AT THE FULL NAMEPLATE VALUE.</v>
      </c>
      <c r="H15" s="370"/>
      <c r="I15" s="370"/>
      <c r="J15" s="370"/>
      <c r="K15" s="370"/>
      <c r="L15" s="370"/>
      <c r="M15" s="370" t="s">
        <v>66</v>
      </c>
      <c r="AA15" s="51">
        <f t="shared" si="2"/>
        <v>13</v>
      </c>
      <c r="AB15" s="329" t="str">
        <f>IF(ISBLANK(Input!D94)=TRUE,"",Input!D94)</f>
        <v/>
      </c>
      <c r="AC15" s="331">
        <f>Input!E94</f>
        <v>0</v>
      </c>
      <c r="AD15" s="331" t="s">
        <v>76</v>
      </c>
      <c r="AE15" s="331">
        <f>Input!F94</f>
        <v>0</v>
      </c>
      <c r="AF15" s="331" t="s">
        <v>290</v>
      </c>
      <c r="AG15" s="332">
        <f>Input!Q$5</f>
        <v>120</v>
      </c>
      <c r="AH15" s="331" t="s">
        <v>415</v>
      </c>
      <c r="AI15" s="331" t="str">
        <f t="shared" si="0"/>
        <v/>
      </c>
      <c r="AJ15" s="331"/>
      <c r="AK15" s="333" t="str">
        <f t="shared" si="1"/>
        <v/>
      </c>
      <c r="AT15" s="51" t="s">
        <v>487</v>
      </c>
      <c r="AU15" s="334" t="str">
        <f>TEXT(AU14,"#,##0")</f>
        <v>0</v>
      </c>
      <c r="AV15" s="51" t="s">
        <v>497</v>
      </c>
      <c r="AW15" s="334" t="str">
        <f>TEXT(AW14,"#,##0")</f>
        <v>0</v>
      </c>
      <c r="AX15" s="51" t="s">
        <v>488</v>
      </c>
      <c r="BA15" s="51" t="str">
        <f>IF(AU8=1,"",CONCATENATE(AT15,AU15,AV15,AW15,AX15))</f>
        <v/>
      </c>
      <c r="BL15" s="322"/>
      <c r="BN15" s="322"/>
      <c r="BR15" s="334"/>
    </row>
    <row r="16" spans="2:72">
      <c r="B16" s="51" t="str">
        <f>BA15</f>
        <v/>
      </c>
      <c r="D16" s="334"/>
      <c r="E16" s="321" t="s">
        <v>66</v>
      </c>
      <c r="G16" s="370" t="s">
        <v>83</v>
      </c>
      <c r="H16" s="370"/>
      <c r="I16" s="370"/>
      <c r="J16" s="370"/>
      <c r="K16" s="370"/>
      <c r="L16" s="370"/>
      <c r="M16" s="371">
        <f>AW100</f>
        <v>4000</v>
      </c>
      <c r="AA16" s="51">
        <f t="shared" si="2"/>
        <v>14</v>
      </c>
      <c r="AB16" s="329" t="str">
        <f>IF(ISBLANK(Input!D95)=TRUE,"",Input!D95)</f>
        <v/>
      </c>
      <c r="AC16" s="331">
        <f>Input!E95</f>
        <v>0</v>
      </c>
      <c r="AD16" s="331" t="s">
        <v>76</v>
      </c>
      <c r="AE16" s="331">
        <f>Input!F95</f>
        <v>0</v>
      </c>
      <c r="AF16" s="331" t="s">
        <v>290</v>
      </c>
      <c r="AG16" s="332">
        <f>Input!Q$5</f>
        <v>120</v>
      </c>
      <c r="AH16" s="331" t="s">
        <v>415</v>
      </c>
      <c r="AI16" s="331" t="str">
        <f t="shared" si="0"/>
        <v/>
      </c>
      <c r="AJ16" s="331"/>
      <c r="AK16" s="333" t="str">
        <f t="shared" si="1"/>
        <v/>
      </c>
      <c r="BH16" s="51" t="str">
        <f t="shared" ref="BH16:BH26" si="6">BH3</f>
        <v>WATER HEATER</v>
      </c>
      <c r="BI16" s="51" t="s">
        <v>291</v>
      </c>
      <c r="BJ16" s="65" t="str">
        <f t="shared" ref="BJ16:BJ26" si="7">TEXT(BJ3, "#,##0")</f>
        <v/>
      </c>
      <c r="BK16" s="51" t="s">
        <v>76</v>
      </c>
      <c r="BL16" s="378" t="str">
        <f>TEXT(BL3, "#,##0")</f>
        <v>0</v>
      </c>
      <c r="BM16" s="51" t="s">
        <v>488</v>
      </c>
      <c r="BN16" s="322"/>
      <c r="BP16" s="378"/>
      <c r="BQ16" s="51" t="s">
        <v>260</v>
      </c>
      <c r="BR16" s="379" t="str">
        <f t="shared" ref="BR16:BR26" si="8">TEXT(BR3, "#,##0")</f>
        <v/>
      </c>
      <c r="BS16" s="51" t="s">
        <v>488</v>
      </c>
      <c r="BT16" s="51" t="str">
        <f>IF(BJ3="","",CONCATENATE(BH16,BI16,BJ16,BK16,BL16,BM16,BN16,BO16,BP16,BQ16))</f>
        <v/>
      </c>
    </row>
    <row r="17" spans="2:72">
      <c r="B17" s="51" t="str">
        <f>BA18</f>
        <v/>
      </c>
      <c r="D17" s="334"/>
      <c r="E17" s="321" t="str">
        <f>AX17</f>
        <v/>
      </c>
      <c r="G17" s="51" t="s">
        <v>66</v>
      </c>
      <c r="M17" s="51" t="s">
        <v>66</v>
      </c>
      <c r="Q17" s="51" t="s">
        <v>79</v>
      </c>
      <c r="R17" s="321">
        <f>SUM(E41:E75)</f>
        <v>13800</v>
      </c>
      <c r="AA17" s="51">
        <f t="shared" si="2"/>
        <v>15</v>
      </c>
      <c r="AB17" s="329" t="str">
        <f>IF(ISBLANK(Input!D96)=TRUE,"",Input!D96)</f>
        <v/>
      </c>
      <c r="AC17" s="331">
        <f>Input!E96</f>
        <v>0</v>
      </c>
      <c r="AD17" s="331" t="s">
        <v>76</v>
      </c>
      <c r="AE17" s="331">
        <f>Input!F96</f>
        <v>0</v>
      </c>
      <c r="AF17" s="331" t="s">
        <v>290</v>
      </c>
      <c r="AG17" s="332">
        <f>Input!Q$5</f>
        <v>120</v>
      </c>
      <c r="AH17" s="331" t="s">
        <v>415</v>
      </c>
      <c r="AI17" s="331" t="str">
        <f t="shared" si="0"/>
        <v/>
      </c>
      <c r="AJ17" s="331"/>
      <c r="AK17" s="333" t="str">
        <f t="shared" si="1"/>
        <v/>
      </c>
      <c r="AT17" s="51" t="s">
        <v>489</v>
      </c>
      <c r="AU17" s="51">
        <f>AW14</f>
        <v>0</v>
      </c>
      <c r="AV17" s="51" t="s">
        <v>498</v>
      </c>
      <c r="AX17" s="51" t="str">
        <f>IF(AU8=1,"",AU17*3)</f>
        <v/>
      </c>
      <c r="BH17" s="51" t="str">
        <f t="shared" si="6"/>
        <v>CENTRAL VAC</v>
      </c>
      <c r="BI17" s="51" t="s">
        <v>291</v>
      </c>
      <c r="BJ17" s="65" t="str">
        <f t="shared" si="7"/>
        <v>1</v>
      </c>
      <c r="BK17" s="51" t="s">
        <v>76</v>
      </c>
      <c r="BL17" s="378" t="str">
        <f t="shared" ref="BL17:BL26" si="9">TEXT(BL4, "#,##0.0")</f>
        <v>12.0</v>
      </c>
      <c r="BM17" s="51" t="s">
        <v>290</v>
      </c>
      <c r="BN17" s="378" t="str">
        <f t="shared" ref="BN17:BN26" si="10">TEXT(BN4, "#,##0")</f>
        <v>120</v>
      </c>
      <c r="BO17" s="51" t="s">
        <v>567</v>
      </c>
      <c r="BP17" s="378"/>
      <c r="BQ17" s="51" t="s">
        <v>260</v>
      </c>
      <c r="BR17" s="379" t="str">
        <f t="shared" si="8"/>
        <v>1,440</v>
      </c>
      <c r="BS17" s="51" t="s">
        <v>488</v>
      </c>
      <c r="BT17" s="51" t="str">
        <f t="shared" ref="BT17:BT26" si="11">IF(BJ4="","",CONCATENATE(BH17,BI17,BJ17,BK17,BL17,BM17,BN17,BO17,BP17,BQ17))</f>
        <v xml:space="preserve">CENTRAL VAC ( 1 X 12.0 A X 120 V ) = </v>
      </c>
    </row>
    <row r="18" spans="2:72">
      <c r="B18" s="51" t="s">
        <v>66</v>
      </c>
      <c r="D18" s="334"/>
      <c r="E18" s="321" t="s">
        <v>66</v>
      </c>
      <c r="G18" s="323" t="str">
        <f>IF(S1=2002,"NEUTRAL LOAD NEC 220.22","NEUTRAL LOAD NEC 220.61")</f>
        <v>NEUTRAL LOAD NEC 220.61</v>
      </c>
      <c r="H18" s="323"/>
      <c r="I18" s="323"/>
      <c r="J18" s="323"/>
      <c r="K18" s="323"/>
      <c r="M18" s="51" t="s">
        <v>66</v>
      </c>
      <c r="AA18" s="51">
        <f t="shared" si="2"/>
        <v>16</v>
      </c>
      <c r="AB18" s="329" t="str">
        <f>IF(ISBLANK(Input!D97)=TRUE,"",Input!D97)</f>
        <v/>
      </c>
      <c r="AC18" s="331">
        <f>Input!E97</f>
        <v>0</v>
      </c>
      <c r="AD18" s="331" t="s">
        <v>76</v>
      </c>
      <c r="AE18" s="331">
        <f>Input!F97</f>
        <v>0</v>
      </c>
      <c r="AF18" s="331" t="s">
        <v>290</v>
      </c>
      <c r="AG18" s="332">
        <f>Input!Q$5</f>
        <v>120</v>
      </c>
      <c r="AH18" s="331" t="s">
        <v>415</v>
      </c>
      <c r="AI18" s="331" t="str">
        <f t="shared" si="0"/>
        <v/>
      </c>
      <c r="AJ18" s="331"/>
      <c r="AK18" s="333" t="str">
        <f t="shared" si="1"/>
        <v/>
      </c>
      <c r="AT18" s="51" t="s">
        <v>489</v>
      </c>
      <c r="AU18" s="334" t="str">
        <f>TEXT(AU17,"#,##0")</f>
        <v>0</v>
      </c>
      <c r="AV18" s="51" t="s">
        <v>498</v>
      </c>
      <c r="BA18" s="51" t="str">
        <f>IF(AU8=1,"",CONCATENATE(AT18,AU18,AV18,AW18,AX18))</f>
        <v/>
      </c>
      <c r="BH18" s="51" t="str">
        <f t="shared" si="6"/>
        <v/>
      </c>
      <c r="BI18" s="51" t="s">
        <v>291</v>
      </c>
      <c r="BJ18" s="65" t="str">
        <f t="shared" si="7"/>
        <v/>
      </c>
      <c r="BK18" s="51" t="s">
        <v>76</v>
      </c>
      <c r="BL18" s="378" t="str">
        <f t="shared" si="9"/>
        <v/>
      </c>
      <c r="BM18" s="51" t="s">
        <v>290</v>
      </c>
      <c r="BN18" s="378" t="str">
        <f t="shared" si="10"/>
        <v>120</v>
      </c>
      <c r="BO18" s="51" t="s">
        <v>567</v>
      </c>
      <c r="BP18" s="378"/>
      <c r="BQ18" s="51" t="s">
        <v>260</v>
      </c>
      <c r="BR18" s="379" t="str">
        <f t="shared" si="8"/>
        <v/>
      </c>
      <c r="BS18" s="51" t="s">
        <v>488</v>
      </c>
      <c r="BT18" s="51" t="str">
        <f t="shared" si="11"/>
        <v/>
      </c>
    </row>
    <row r="19" spans="2:72">
      <c r="B19" s="51" t="s">
        <v>66</v>
      </c>
      <c r="D19" s="334"/>
      <c r="E19" s="321" t="s">
        <v>66</v>
      </c>
      <c r="G19" s="51" t="str">
        <f>B6</f>
        <v xml:space="preserve">TOTAL SQ FOOTAGE ( 600 SQ FT X 3 VA ) = </v>
      </c>
      <c r="L19" s="334"/>
      <c r="M19" s="321">
        <f>E6</f>
        <v>1800</v>
      </c>
      <c r="V19" s="335"/>
      <c r="AA19" s="51">
        <f t="shared" si="2"/>
        <v>17</v>
      </c>
      <c r="AB19" s="329" t="str">
        <f>IF(ISBLANK(Input!D98)=TRUE,"",Input!D98)</f>
        <v/>
      </c>
      <c r="AC19" s="331">
        <f>Input!E98</f>
        <v>0</v>
      </c>
      <c r="AD19" s="331" t="s">
        <v>76</v>
      </c>
      <c r="AE19" s="331">
        <f>Input!F98</f>
        <v>0</v>
      </c>
      <c r="AF19" s="331" t="s">
        <v>290</v>
      </c>
      <c r="AG19" s="332">
        <f>Input!Q$5</f>
        <v>120</v>
      </c>
      <c r="AH19" s="331" t="s">
        <v>415</v>
      </c>
      <c r="AI19" s="331" t="str">
        <f t="shared" si="0"/>
        <v/>
      </c>
      <c r="AJ19" s="331"/>
      <c r="AK19" s="333" t="str">
        <f t="shared" si="1"/>
        <v/>
      </c>
      <c r="BH19" s="51" t="str">
        <f t="shared" si="6"/>
        <v/>
      </c>
      <c r="BI19" s="51" t="s">
        <v>291</v>
      </c>
      <c r="BJ19" s="65" t="str">
        <f t="shared" si="7"/>
        <v/>
      </c>
      <c r="BK19" s="51" t="s">
        <v>76</v>
      </c>
      <c r="BL19" s="378" t="str">
        <f t="shared" si="9"/>
        <v/>
      </c>
      <c r="BM19" s="51" t="s">
        <v>290</v>
      </c>
      <c r="BN19" s="378" t="str">
        <f t="shared" si="10"/>
        <v>120</v>
      </c>
      <c r="BO19" s="51" t="s">
        <v>567</v>
      </c>
      <c r="BP19" s="378"/>
      <c r="BQ19" s="51" t="s">
        <v>260</v>
      </c>
      <c r="BR19" s="379" t="str">
        <f t="shared" si="8"/>
        <v/>
      </c>
      <c r="BS19" s="51" t="s">
        <v>488</v>
      </c>
      <c r="BT19" s="51" t="str">
        <f t="shared" si="11"/>
        <v/>
      </c>
    </row>
    <row r="20" spans="2:72">
      <c r="B20" s="51" t="s">
        <v>66</v>
      </c>
      <c r="D20" s="334"/>
      <c r="E20" s="321" t="s">
        <v>66</v>
      </c>
      <c r="G20" s="51" t="str">
        <f>B7</f>
        <v xml:space="preserve">APPLIANCE CIRCUITS ( 0 X 1,500 VA ) = </v>
      </c>
      <c r="L20" s="334"/>
      <c r="M20" s="321">
        <f>E7</f>
        <v>0</v>
      </c>
      <c r="AA20" s="51">
        <f t="shared" si="2"/>
        <v>18</v>
      </c>
      <c r="AB20" s="329" t="str">
        <f>IF(ISBLANK(Input!D99)=TRUE,"",Input!D99)</f>
        <v/>
      </c>
      <c r="AC20" s="331">
        <f>Input!E99</f>
        <v>0</v>
      </c>
      <c r="AD20" s="331" t="s">
        <v>76</v>
      </c>
      <c r="AE20" s="331">
        <f>Input!F99</f>
        <v>0</v>
      </c>
      <c r="AF20" s="331" t="s">
        <v>290</v>
      </c>
      <c r="AG20" s="332">
        <f>Input!Q$5</f>
        <v>120</v>
      </c>
      <c r="AH20" s="331" t="s">
        <v>415</v>
      </c>
      <c r="AI20" s="331" t="str">
        <f t="shared" si="0"/>
        <v/>
      </c>
      <c r="AJ20" s="331"/>
      <c r="AK20" s="333" t="str">
        <f t="shared" si="1"/>
        <v/>
      </c>
      <c r="BH20" s="51" t="str">
        <f t="shared" si="6"/>
        <v/>
      </c>
      <c r="BI20" s="51" t="s">
        <v>291</v>
      </c>
      <c r="BJ20" s="65" t="str">
        <f t="shared" si="7"/>
        <v/>
      </c>
      <c r="BK20" s="51" t="s">
        <v>76</v>
      </c>
      <c r="BL20" s="378" t="str">
        <f t="shared" si="9"/>
        <v/>
      </c>
      <c r="BM20" s="51" t="s">
        <v>290</v>
      </c>
      <c r="BN20" s="378" t="str">
        <f t="shared" si="10"/>
        <v>120</v>
      </c>
      <c r="BO20" s="51" t="s">
        <v>567</v>
      </c>
      <c r="BP20" s="378"/>
      <c r="BQ20" s="51" t="s">
        <v>260</v>
      </c>
      <c r="BR20" s="379" t="str">
        <f t="shared" si="8"/>
        <v/>
      </c>
      <c r="BS20" s="51" t="s">
        <v>488</v>
      </c>
      <c r="BT20" s="51" t="str">
        <f t="shared" si="11"/>
        <v/>
      </c>
    </row>
    <row r="21" spans="2:72">
      <c r="B21" s="51" t="str">
        <f>BA30</f>
        <v xml:space="preserve">DRYER ( 1 DRYER X 5,000 VA ) = </v>
      </c>
      <c r="D21" s="334"/>
      <c r="E21" s="321">
        <f>AY29</f>
        <v>5000</v>
      </c>
      <c r="G21" s="51" t="str">
        <f>B8</f>
        <v xml:space="preserve">LAUNDRY CIRCUITS ( 1 X 1,500 VA ) = </v>
      </c>
      <c r="L21" s="334"/>
      <c r="M21" s="321">
        <f>E8</f>
        <v>1500</v>
      </c>
      <c r="V21" s="49"/>
      <c r="AA21" s="51">
        <f t="shared" si="2"/>
        <v>19</v>
      </c>
      <c r="AB21" s="329" t="str">
        <f>IF(ISBLANK(Input!D100)=TRUE,"",Input!D100)</f>
        <v/>
      </c>
      <c r="AC21" s="331">
        <f>Input!E100</f>
        <v>0</v>
      </c>
      <c r="AD21" s="331" t="s">
        <v>76</v>
      </c>
      <c r="AE21" s="331">
        <f>Input!F100</f>
        <v>0</v>
      </c>
      <c r="AF21" s="331" t="s">
        <v>290</v>
      </c>
      <c r="AG21" s="332">
        <f>Input!Q$5</f>
        <v>120</v>
      </c>
      <c r="AH21" s="331" t="s">
        <v>415</v>
      </c>
      <c r="AI21" s="331" t="str">
        <f t="shared" si="0"/>
        <v/>
      </c>
      <c r="AJ21" s="331"/>
      <c r="AK21" s="333" t="str">
        <f t="shared" si="1"/>
        <v/>
      </c>
      <c r="BH21" s="51" t="str">
        <f t="shared" si="6"/>
        <v/>
      </c>
      <c r="BI21" s="51" t="s">
        <v>291</v>
      </c>
      <c r="BJ21" s="65" t="str">
        <f t="shared" si="7"/>
        <v/>
      </c>
      <c r="BK21" s="51" t="s">
        <v>76</v>
      </c>
      <c r="BL21" s="378" t="str">
        <f t="shared" si="9"/>
        <v/>
      </c>
      <c r="BM21" s="51" t="s">
        <v>290</v>
      </c>
      <c r="BN21" s="378" t="str">
        <f t="shared" si="10"/>
        <v>120</v>
      </c>
      <c r="BO21" s="51" t="s">
        <v>567</v>
      </c>
      <c r="BP21" s="378"/>
      <c r="BQ21" s="51" t="s">
        <v>260</v>
      </c>
      <c r="BR21" s="379" t="str">
        <f t="shared" si="8"/>
        <v/>
      </c>
      <c r="BS21" s="51" t="s">
        <v>488</v>
      </c>
      <c r="BT21" s="51" t="str">
        <f t="shared" si="11"/>
        <v/>
      </c>
    </row>
    <row r="22" spans="2:72">
      <c r="B22" s="51" t="str">
        <f>BA33</f>
        <v/>
      </c>
      <c r="D22" s="334"/>
      <c r="E22" s="321" t="s">
        <v>66</v>
      </c>
      <c r="G22" s="51" t="s">
        <v>20</v>
      </c>
      <c r="M22" s="338">
        <f>SUM(M19:M21)</f>
        <v>3300</v>
      </c>
      <c r="AA22" s="51">
        <f t="shared" si="2"/>
        <v>20</v>
      </c>
      <c r="AB22" s="329" t="str">
        <f>IF(ISBLANK(Input!D101)=TRUE,"",Input!D101)</f>
        <v/>
      </c>
      <c r="AC22" s="331">
        <f>Input!E101</f>
        <v>0</v>
      </c>
      <c r="AD22" s="331" t="s">
        <v>76</v>
      </c>
      <c r="AE22" s="331">
        <f>Input!F101</f>
        <v>0</v>
      </c>
      <c r="AF22" s="331" t="s">
        <v>290</v>
      </c>
      <c r="AG22" s="332">
        <f>Input!Q$5</f>
        <v>120</v>
      </c>
      <c r="AH22" s="331" t="s">
        <v>415</v>
      </c>
      <c r="AI22" s="331" t="str">
        <f t="shared" si="0"/>
        <v/>
      </c>
      <c r="AJ22" s="331"/>
      <c r="AK22" s="333" t="str">
        <f t="shared" si="1"/>
        <v/>
      </c>
      <c r="BH22" s="51" t="str">
        <f t="shared" si="6"/>
        <v/>
      </c>
      <c r="BI22" s="51" t="s">
        <v>291</v>
      </c>
      <c r="BJ22" s="65" t="str">
        <f t="shared" si="7"/>
        <v/>
      </c>
      <c r="BK22" s="51" t="s">
        <v>76</v>
      </c>
      <c r="BL22" s="378" t="str">
        <f t="shared" si="9"/>
        <v/>
      </c>
      <c r="BM22" s="51" t="s">
        <v>290</v>
      </c>
      <c r="BN22" s="378" t="str">
        <f t="shared" si="10"/>
        <v>120</v>
      </c>
      <c r="BO22" s="51" t="s">
        <v>567</v>
      </c>
      <c r="BP22" s="378"/>
      <c r="BQ22" s="51" t="s">
        <v>260</v>
      </c>
      <c r="BR22" s="379" t="str">
        <f t="shared" si="8"/>
        <v/>
      </c>
      <c r="BS22" s="51" t="s">
        <v>488</v>
      </c>
      <c r="BT22" s="51" t="str">
        <f t="shared" si="11"/>
        <v/>
      </c>
    </row>
    <row r="23" spans="2:72">
      <c r="B23" s="51" t="str">
        <f>BA36</f>
        <v/>
      </c>
      <c r="D23" s="334"/>
      <c r="E23" s="321" t="str">
        <f>AX35</f>
        <v/>
      </c>
      <c r="G23" s="51" t="s">
        <v>66</v>
      </c>
      <c r="M23" s="51" t="s">
        <v>66</v>
      </c>
      <c r="AA23" s="51">
        <f t="shared" si="2"/>
        <v>21</v>
      </c>
      <c r="AB23" s="329" t="str">
        <f>IF(ISBLANK(Input!D102)=TRUE,"",Input!D102)</f>
        <v/>
      </c>
      <c r="AC23" s="331">
        <f>Input!E102</f>
        <v>0</v>
      </c>
      <c r="AD23" s="331" t="s">
        <v>76</v>
      </c>
      <c r="AE23" s="331">
        <f>Input!F102</f>
        <v>0</v>
      </c>
      <c r="AF23" s="331" t="s">
        <v>290</v>
      </c>
      <c r="AG23" s="332">
        <f>Input!Q$5</f>
        <v>120</v>
      </c>
      <c r="AH23" s="331" t="s">
        <v>415</v>
      </c>
      <c r="AI23" s="331" t="str">
        <f t="shared" si="0"/>
        <v/>
      </c>
      <c r="AJ23" s="331"/>
      <c r="AK23" s="333" t="str">
        <f t="shared" si="1"/>
        <v/>
      </c>
      <c r="BH23" s="51" t="str">
        <f t="shared" si="6"/>
        <v/>
      </c>
      <c r="BI23" s="51" t="s">
        <v>291</v>
      </c>
      <c r="BJ23" s="65" t="str">
        <f t="shared" si="7"/>
        <v/>
      </c>
      <c r="BK23" s="51" t="s">
        <v>76</v>
      </c>
      <c r="BL23" s="378" t="str">
        <f t="shared" si="9"/>
        <v/>
      </c>
      <c r="BM23" s="51" t="s">
        <v>290</v>
      </c>
      <c r="BN23" s="378" t="str">
        <f t="shared" si="10"/>
        <v>120</v>
      </c>
      <c r="BO23" s="51" t="s">
        <v>567</v>
      </c>
      <c r="BP23" s="378"/>
      <c r="BQ23" s="51" t="s">
        <v>260</v>
      </c>
      <c r="BR23" s="379" t="str">
        <f t="shared" si="8"/>
        <v/>
      </c>
      <c r="BS23" s="51" t="s">
        <v>488</v>
      </c>
      <c r="BT23" s="51" t="str">
        <f t="shared" si="11"/>
        <v/>
      </c>
    </row>
    <row r="24" spans="2:72">
      <c r="B24" s="51" t="s">
        <v>66</v>
      </c>
      <c r="D24" s="334"/>
      <c r="E24" s="321" t="s">
        <v>66</v>
      </c>
      <c r="G24" s="51" t="str">
        <f>AJ96</f>
        <v xml:space="preserve">FIRST 3,000 VA @ 100% ( 3,000 VA X 1.00 ) = </v>
      </c>
      <c r="L24" s="334"/>
      <c r="M24" s="321">
        <f>AB96</f>
        <v>3000</v>
      </c>
      <c r="V24" s="339"/>
      <c r="AA24" s="51">
        <f t="shared" si="2"/>
        <v>22</v>
      </c>
      <c r="AB24" s="329" t="str">
        <f>IF(ISBLANK(Input!D103)=TRUE,"",Input!D103)</f>
        <v/>
      </c>
      <c r="AC24" s="331">
        <f>Input!E103</f>
        <v>0</v>
      </c>
      <c r="AD24" s="331" t="s">
        <v>76</v>
      </c>
      <c r="AE24" s="331">
        <f>Input!F103</f>
        <v>0</v>
      </c>
      <c r="AF24" s="331" t="s">
        <v>290</v>
      </c>
      <c r="AG24" s="332">
        <f>Input!Q$5</f>
        <v>120</v>
      </c>
      <c r="AH24" s="331" t="s">
        <v>415</v>
      </c>
      <c r="AI24" s="331" t="str">
        <f t="shared" si="0"/>
        <v/>
      </c>
      <c r="AJ24" s="331"/>
      <c r="AK24" s="333" t="str">
        <f t="shared" si="1"/>
        <v/>
      </c>
      <c r="AT24" s="51" t="s">
        <v>58</v>
      </c>
      <c r="AU24" s="335">
        <f>Input!E32</f>
        <v>1</v>
      </c>
      <c r="BH24" s="51" t="str">
        <f t="shared" si="6"/>
        <v/>
      </c>
      <c r="BI24" s="51" t="s">
        <v>291</v>
      </c>
      <c r="BJ24" s="65" t="str">
        <f t="shared" si="7"/>
        <v/>
      </c>
      <c r="BK24" s="51" t="s">
        <v>76</v>
      </c>
      <c r="BL24" s="378" t="str">
        <f t="shared" si="9"/>
        <v/>
      </c>
      <c r="BM24" s="51" t="s">
        <v>290</v>
      </c>
      <c r="BN24" s="378" t="str">
        <f t="shared" si="10"/>
        <v>120</v>
      </c>
      <c r="BO24" s="51" t="s">
        <v>567</v>
      </c>
      <c r="BP24" s="378"/>
      <c r="BQ24" s="51" t="s">
        <v>260</v>
      </c>
      <c r="BR24" s="379" t="str">
        <f t="shared" si="8"/>
        <v/>
      </c>
      <c r="BS24" s="51" t="s">
        <v>488</v>
      </c>
      <c r="BT24" s="51" t="str">
        <f t="shared" si="11"/>
        <v/>
      </c>
    </row>
    <row r="25" spans="2:72">
      <c r="B25" s="51" t="s">
        <v>66</v>
      </c>
      <c r="D25" s="334"/>
      <c r="E25" s="321" t="s">
        <v>66</v>
      </c>
      <c r="G25" s="51" t="str">
        <f>AJ98</f>
        <v xml:space="preserve">3,000-120,000 VA @ 35% ( 300 VA X 0.35 ) = </v>
      </c>
      <c r="L25" s="334"/>
      <c r="M25" s="321">
        <f>AK98</f>
        <v>105</v>
      </c>
      <c r="AA25" s="51">
        <f t="shared" si="2"/>
        <v>23</v>
      </c>
      <c r="AB25" s="329" t="str">
        <f>IF(ISBLANK(Input!D104)=TRUE,"",Input!D104)</f>
        <v/>
      </c>
      <c r="AC25" s="331">
        <f>Input!E104</f>
        <v>0</v>
      </c>
      <c r="AD25" s="331" t="s">
        <v>76</v>
      </c>
      <c r="AE25" s="331">
        <f>Input!F104</f>
        <v>0</v>
      </c>
      <c r="AF25" s="331" t="s">
        <v>290</v>
      </c>
      <c r="AG25" s="332">
        <f>Input!Q$5</f>
        <v>120</v>
      </c>
      <c r="AH25" s="331" t="s">
        <v>415</v>
      </c>
      <c r="AI25" s="331" t="str">
        <f t="shared" si="0"/>
        <v/>
      </c>
      <c r="AJ25" s="331"/>
      <c r="AK25" s="333" t="str">
        <f t="shared" si="1"/>
        <v/>
      </c>
      <c r="AT25" s="51" t="s">
        <v>133</v>
      </c>
      <c r="AU25" s="51">
        <f>Input!F32</f>
        <v>5</v>
      </c>
      <c r="BH25" s="51" t="str">
        <f t="shared" si="6"/>
        <v/>
      </c>
      <c r="BI25" s="51" t="s">
        <v>291</v>
      </c>
      <c r="BJ25" s="65" t="str">
        <f t="shared" si="7"/>
        <v/>
      </c>
      <c r="BK25" s="51" t="s">
        <v>76</v>
      </c>
      <c r="BL25" s="378" t="str">
        <f t="shared" si="9"/>
        <v/>
      </c>
      <c r="BM25" s="51" t="s">
        <v>290</v>
      </c>
      <c r="BN25" s="378" t="str">
        <f t="shared" si="10"/>
        <v>120</v>
      </c>
      <c r="BO25" s="51" t="s">
        <v>567</v>
      </c>
      <c r="BP25" s="378"/>
      <c r="BQ25" s="51" t="s">
        <v>260</v>
      </c>
      <c r="BR25" s="379" t="str">
        <f t="shared" si="8"/>
        <v/>
      </c>
      <c r="BS25" s="51" t="s">
        <v>488</v>
      </c>
      <c r="BT25" s="51" t="str">
        <f t="shared" si="11"/>
        <v/>
      </c>
    </row>
    <row r="26" spans="2:72">
      <c r="B26" s="51" t="s">
        <v>66</v>
      </c>
      <c r="D26" s="334"/>
      <c r="E26" s="321" t="s">
        <v>66</v>
      </c>
      <c r="G26" s="51" t="str">
        <f>AJ100</f>
        <v xml:space="preserve">OVER 120,000 VA @ 25% ( 0 VA X 0.25 ) = </v>
      </c>
      <c r="L26" s="334"/>
      <c r="M26" s="321">
        <f>AK100</f>
        <v>0</v>
      </c>
      <c r="AA26" s="51">
        <f t="shared" si="2"/>
        <v>24</v>
      </c>
      <c r="AB26" s="329" t="str">
        <f>IF(ISBLANK(Input!D105)=TRUE,"",Input!D105)</f>
        <v/>
      </c>
      <c r="AC26" s="331">
        <f>Input!E105</f>
        <v>0</v>
      </c>
      <c r="AD26" s="331" t="s">
        <v>76</v>
      </c>
      <c r="AE26" s="331">
        <f>Input!F105</f>
        <v>0</v>
      </c>
      <c r="AF26" s="331" t="s">
        <v>290</v>
      </c>
      <c r="AG26" s="332">
        <f>Input!Q$5</f>
        <v>120</v>
      </c>
      <c r="AH26" s="331" t="s">
        <v>415</v>
      </c>
      <c r="AI26" s="331" t="str">
        <f t="shared" si="0"/>
        <v/>
      </c>
      <c r="AJ26" s="331"/>
      <c r="AK26" s="333" t="str">
        <f t="shared" si="1"/>
        <v/>
      </c>
      <c r="AT26" s="51" t="s">
        <v>77</v>
      </c>
      <c r="AU26" s="49">
        <f>Input!J9</f>
        <v>1</v>
      </c>
      <c r="BH26" s="51" t="str">
        <f t="shared" si="6"/>
        <v/>
      </c>
      <c r="BI26" s="51" t="s">
        <v>291</v>
      </c>
      <c r="BJ26" s="65" t="str">
        <f t="shared" si="7"/>
        <v/>
      </c>
      <c r="BK26" s="51" t="s">
        <v>76</v>
      </c>
      <c r="BL26" s="378" t="str">
        <f t="shared" si="9"/>
        <v/>
      </c>
      <c r="BM26" s="51" t="s">
        <v>290</v>
      </c>
      <c r="BN26" s="378" t="str">
        <f t="shared" si="10"/>
        <v>120</v>
      </c>
      <c r="BO26" s="51" t="s">
        <v>567</v>
      </c>
      <c r="BP26" s="378"/>
      <c r="BQ26" s="51" t="s">
        <v>260</v>
      </c>
      <c r="BR26" s="379" t="str">
        <f t="shared" si="8"/>
        <v/>
      </c>
      <c r="BS26" s="51" t="s">
        <v>488</v>
      </c>
      <c r="BT26" s="51" t="str">
        <f t="shared" si="11"/>
        <v/>
      </c>
    </row>
    <row r="27" spans="2:72">
      <c r="B27" s="323" t="s">
        <v>565</v>
      </c>
      <c r="D27" s="334"/>
      <c r="E27" s="321" t="s">
        <v>66</v>
      </c>
      <c r="G27" s="51" t="s">
        <v>18</v>
      </c>
      <c r="M27" s="338">
        <f>SUM(M24:M26)</f>
        <v>3105</v>
      </c>
      <c r="AA27" s="51">
        <f t="shared" si="2"/>
        <v>25</v>
      </c>
      <c r="AB27" s="343" t="str">
        <f>IF(ISBLANK(Input!D109)=TRUE,"",Input!D109)</f>
        <v>PUMP</v>
      </c>
      <c r="AC27" s="344">
        <f>Input!E109</f>
        <v>2</v>
      </c>
      <c r="AD27" s="345" t="s">
        <v>76</v>
      </c>
      <c r="AE27" s="345">
        <f>Input!F109</f>
        <v>21</v>
      </c>
      <c r="AF27" s="345" t="str">
        <f>IF(OR(Input!J$9=1,Input!H109=1)," A X "," A X 1.732 X ")</f>
        <v xml:space="preserve"> A X </v>
      </c>
      <c r="AG27" s="346">
        <f>Input!Q$4</f>
        <v>240</v>
      </c>
      <c r="AH27" s="345" t="s">
        <v>415</v>
      </c>
      <c r="AI27" s="345" t="str">
        <f t="shared" si="0"/>
        <v xml:space="preserve">PUMP ( 2 X 21 A X 240 V ) = </v>
      </c>
      <c r="AJ27" s="345"/>
      <c r="AK27" s="347">
        <f>IF(AC27=0,"",IF(OR(Input!J$9=1,Input!H109=1),ROUND((AC27*AE27*AG27),0),ROUND((AC27*AE27*AG27*1.732),0)))</f>
        <v>10080</v>
      </c>
      <c r="AT27" s="51" t="s">
        <v>490</v>
      </c>
      <c r="AU27" s="51">
        <f>CEILING(AU24/3,1)*2</f>
        <v>2</v>
      </c>
      <c r="AY27" s="51">
        <f>AW29*AU29</f>
        <v>5000</v>
      </c>
    </row>
    <row r="28" spans="2:72">
      <c r="B28" s="51" t="str">
        <f t="shared" ref="B28:B38" si="12">BT16</f>
        <v/>
      </c>
      <c r="D28" s="334"/>
      <c r="E28" s="321" t="str">
        <f t="shared" ref="E28:E38" si="13">BR3</f>
        <v/>
      </c>
      <c r="G28" s="51" t="s">
        <v>66</v>
      </c>
      <c r="M28" s="51" t="s">
        <v>66</v>
      </c>
      <c r="Q28" s="51" t="s">
        <v>512</v>
      </c>
      <c r="R28" s="50">
        <f>M44</f>
        <v>37</v>
      </c>
      <c r="S28" s="51" t="s">
        <v>513</v>
      </c>
      <c r="AA28" s="51">
        <f t="shared" si="2"/>
        <v>26</v>
      </c>
      <c r="AB28" s="343" t="str">
        <f>IF(ISBLANK(Input!D110)=TRUE,"",Input!D110)</f>
        <v/>
      </c>
      <c r="AC28" s="345">
        <f>Input!E110</f>
        <v>0</v>
      </c>
      <c r="AD28" s="345" t="s">
        <v>76</v>
      </c>
      <c r="AE28" s="345">
        <f>Input!F110</f>
        <v>0</v>
      </c>
      <c r="AF28" s="345" t="s">
        <v>568</v>
      </c>
      <c r="AG28" s="346">
        <f>Input!Q$4</f>
        <v>240</v>
      </c>
      <c r="AH28" s="345" t="s">
        <v>415</v>
      </c>
      <c r="AI28" s="345" t="str">
        <f t="shared" si="0"/>
        <v/>
      </c>
      <c r="AJ28" s="345"/>
      <c r="AK28" s="347" t="str">
        <f>IF(AC28=0,"",IF(OR(Input!J$9=1,Input!H110=1),ROUND((AC28*AE28*AG28),0),ROUND((AC28*AE28*AG28*1.732),0)))</f>
        <v/>
      </c>
    </row>
    <row r="29" spans="2:72">
      <c r="B29" s="51" t="str">
        <f t="shared" si="12"/>
        <v xml:space="preserve">CENTRAL VAC ( 1 X 12.0 A X 120 V ) = </v>
      </c>
      <c r="D29" s="335"/>
      <c r="E29" s="321">
        <f t="shared" si="13"/>
        <v>1440</v>
      </c>
      <c r="G29" s="340" t="s">
        <v>545</v>
      </c>
      <c r="H29" s="340"/>
      <c r="I29" s="340"/>
      <c r="J29" s="340"/>
      <c r="K29" s="340"/>
      <c r="L29" s="340"/>
      <c r="M29" s="340" t="s">
        <v>66</v>
      </c>
      <c r="Q29" s="51" t="s">
        <v>512</v>
      </c>
      <c r="R29" s="334" t="str">
        <f>TEXT(R28,"#,##0")</f>
        <v>37</v>
      </c>
      <c r="S29" s="51" t="s">
        <v>513</v>
      </c>
      <c r="T29" s="51" t="str">
        <f>CONCATENATE(Q29,R29,S29)</f>
        <v>FIRST 200 A @ 100% (37 A X 1.00 ) =</v>
      </c>
      <c r="AA29" s="51">
        <f t="shared" si="2"/>
        <v>27</v>
      </c>
      <c r="AB29" s="343" t="str">
        <f>IF(ISBLANK(Input!D111)=TRUE,"",Input!D111)</f>
        <v/>
      </c>
      <c r="AC29" s="345">
        <f>Input!E111</f>
        <v>0</v>
      </c>
      <c r="AD29" s="345" t="s">
        <v>76</v>
      </c>
      <c r="AE29" s="345">
        <f>Input!F111</f>
        <v>0</v>
      </c>
      <c r="AF29" s="345" t="s">
        <v>568</v>
      </c>
      <c r="AG29" s="346">
        <f>Input!Q$4</f>
        <v>240</v>
      </c>
      <c r="AH29" s="345" t="s">
        <v>415</v>
      </c>
      <c r="AI29" s="345" t="str">
        <f t="shared" si="0"/>
        <v/>
      </c>
      <c r="AJ29" s="345"/>
      <c r="AK29" s="347" t="str">
        <f>IF(AC29=0,"",IF(OR(Input!J$9=1,Input!H111=1),ROUND((AC29*AE29*AG29),0),ROUND((AC29*AE29*AG29*1.732),0)))</f>
        <v/>
      </c>
      <c r="AT29" s="51" t="str">
        <f>IF(AU24=1,"DRYER ( ","DRYERS ( ")</f>
        <v xml:space="preserve">DRYER ( </v>
      </c>
      <c r="AU29" s="339">
        <f>IF(AU26=1,AU24,IF(AND(AU24=1,AU26="3Y"),1,AU27))</f>
        <v>1</v>
      </c>
      <c r="AV29" s="51" t="str">
        <f>IF(AND(AU24=1,AU26=1)," DRYER X ",IF(AND(AU26=1,AU24&gt;1)," DRYER X "," ON ANY 2 PHASES ) = "))</f>
        <v xml:space="preserve"> DRYER X </v>
      </c>
      <c r="AW29" s="51">
        <f>IF(AU26=1,AU25*1000,AU29*AU25*1000)</f>
        <v>5000</v>
      </c>
      <c r="AX29" s="51" t="str">
        <f>IF(AU26=1," VA ) = "," KVA")</f>
        <v xml:space="preserve"> VA ) = </v>
      </c>
      <c r="AY29" s="51">
        <f>IF(AU26=1,AW29*AU29,"")</f>
        <v>5000</v>
      </c>
    </row>
    <row r="30" spans="2:72">
      <c r="B30" s="51" t="str">
        <f t="shared" si="12"/>
        <v/>
      </c>
      <c r="D30" s="335"/>
      <c r="E30" s="321" t="str">
        <f t="shared" si="13"/>
        <v/>
      </c>
      <c r="G30" s="340" t="str">
        <f>IF(AND(S1=2002,Input!J9="3Y"),"PROHIBITED REDUCTION - 220.22",IF(AND(S1&lt;&gt;2002,Input!J9="3Y"),"PROHIBITED REDUCTION - 220.61(C)(1)",IF(S1=2002,"TABLE 220.19 COLUMN C","TABLE 220.55 COLUMN C")))</f>
        <v>TABLE 220.55 COLUMN C</v>
      </c>
      <c r="H30" s="340"/>
      <c r="I30" s="340"/>
      <c r="J30" s="340"/>
      <c r="K30" s="340"/>
      <c r="L30" s="340"/>
      <c r="M30" s="340" t="s">
        <v>66</v>
      </c>
      <c r="AA30" s="51">
        <f t="shared" si="2"/>
        <v>28</v>
      </c>
      <c r="AB30" s="343" t="str">
        <f>IF(ISBLANK(Input!D112)=TRUE,"",Input!D112)</f>
        <v/>
      </c>
      <c r="AC30" s="345">
        <f>Input!E112</f>
        <v>0</v>
      </c>
      <c r="AD30" s="345" t="s">
        <v>76</v>
      </c>
      <c r="AE30" s="345">
        <f>Input!F112</f>
        <v>0</v>
      </c>
      <c r="AF30" s="345" t="s">
        <v>568</v>
      </c>
      <c r="AG30" s="346">
        <f>Input!Q$4</f>
        <v>240</v>
      </c>
      <c r="AH30" s="345" t="s">
        <v>415</v>
      </c>
      <c r="AI30" s="345" t="str">
        <f t="shared" si="0"/>
        <v/>
      </c>
      <c r="AJ30" s="345"/>
      <c r="AK30" s="347" t="str">
        <f>IF(AC30=0,"",IF(OR(Input!J$9=1,Input!H112=1),ROUND((AC30*AE30*AG30),0),ROUND((AC30*AE30*AG30*1.732),0)))</f>
        <v/>
      </c>
      <c r="AT30" s="51" t="str">
        <f>AT29</f>
        <v xml:space="preserve">DRYER ( </v>
      </c>
      <c r="AU30" s="339" t="str">
        <f>TEXT(AU29,"0")</f>
        <v>1</v>
      </c>
      <c r="AV30" s="51" t="str">
        <f>AV29</f>
        <v xml:space="preserve"> DRYER X </v>
      </c>
      <c r="AW30" s="334" t="str">
        <f>TEXT(AW29,"#,##0")</f>
        <v>5,000</v>
      </c>
      <c r="AX30" s="51" t="str">
        <f>AX29</f>
        <v xml:space="preserve"> VA ) = </v>
      </c>
      <c r="BA30" s="51" t="str">
        <f>CONCATENATE(AT30,AU30,AV30,AW30,AX30)</f>
        <v xml:space="preserve">DRYER ( 1 DRYER X 5,000 VA ) = </v>
      </c>
    </row>
    <row r="31" spans="2:72">
      <c r="B31" s="51" t="str">
        <f t="shared" si="12"/>
        <v/>
      </c>
      <c r="D31" s="335"/>
      <c r="E31" s="321" t="str">
        <f t="shared" si="13"/>
        <v/>
      </c>
      <c r="G31" s="340" t="str">
        <f>AJ102</f>
        <v xml:space="preserve">70% OF TABLE 220.55 ( 0 VA X 0.70 ) = </v>
      </c>
      <c r="H31" s="340"/>
      <c r="I31" s="340"/>
      <c r="J31" s="340"/>
      <c r="K31" s="340"/>
      <c r="L31" s="341"/>
      <c r="M31" s="342">
        <f>AK102</f>
        <v>0</v>
      </c>
      <c r="Q31" s="51" t="s">
        <v>514</v>
      </c>
      <c r="R31" s="50">
        <f>IF(M41-M44&lt;0,0,IF(M41-M44=0,0,M41-M44))</f>
        <v>0</v>
      </c>
      <c r="S31" s="51" t="s">
        <v>515</v>
      </c>
      <c r="AA31" s="51">
        <f t="shared" si="2"/>
        <v>29</v>
      </c>
      <c r="AB31" s="343" t="str">
        <f>IF(ISBLANK(Input!D113)=TRUE,"",Input!D113)</f>
        <v/>
      </c>
      <c r="AC31" s="345">
        <f>Input!E113</f>
        <v>0</v>
      </c>
      <c r="AD31" s="345" t="s">
        <v>76</v>
      </c>
      <c r="AE31" s="345">
        <f>Input!F113</f>
        <v>0</v>
      </c>
      <c r="AF31" s="345" t="s">
        <v>568</v>
      </c>
      <c r="AG31" s="346">
        <f>Input!Q$4</f>
        <v>240</v>
      </c>
      <c r="AH31" s="345" t="s">
        <v>415</v>
      </c>
      <c r="AI31" s="345" t="str">
        <f t="shared" si="0"/>
        <v/>
      </c>
      <c r="AJ31" s="345"/>
      <c r="AK31" s="347" t="str">
        <f>IF(AC31=0,"",IF(OR(Input!J$9=1,Input!H113=1),ROUND((AC31*AE31*AG31),0),ROUND((AC31*AE31*AG31*1.732),0)))</f>
        <v/>
      </c>
    </row>
    <row r="32" spans="2:72">
      <c r="B32" s="51" t="str">
        <f t="shared" si="12"/>
        <v/>
      </c>
      <c r="D32" s="335"/>
      <c r="E32" s="321" t="str">
        <f t="shared" si="13"/>
        <v/>
      </c>
      <c r="G32" s="340" t="s">
        <v>66</v>
      </c>
      <c r="H32" s="340"/>
      <c r="I32" s="340"/>
      <c r="J32" s="340"/>
      <c r="K32" s="340"/>
      <c r="L32" s="340"/>
      <c r="M32" s="340" t="s">
        <v>66</v>
      </c>
      <c r="Q32" s="51" t="s">
        <v>514</v>
      </c>
      <c r="R32" s="334" t="str">
        <f>TEXT(R31,"#,##0")</f>
        <v>0</v>
      </c>
      <c r="S32" s="51" t="s">
        <v>515</v>
      </c>
      <c r="T32" s="51" t="str">
        <f>CONCATENATE(Q32,R32,S32)</f>
        <v>REMAINDER @ 70% ( 0 A X 0.70 ) =</v>
      </c>
      <c r="AA32" s="51">
        <f t="shared" si="2"/>
        <v>30</v>
      </c>
      <c r="AB32" s="343" t="str">
        <f>IF(ISBLANK(Input!D114)=TRUE,"",Input!D114)</f>
        <v/>
      </c>
      <c r="AC32" s="345">
        <f>Input!E114</f>
        <v>0</v>
      </c>
      <c r="AD32" s="345" t="s">
        <v>76</v>
      </c>
      <c r="AE32" s="345">
        <f>Input!F114</f>
        <v>0</v>
      </c>
      <c r="AF32" s="345" t="s">
        <v>568</v>
      </c>
      <c r="AG32" s="346">
        <f>Input!Q$4</f>
        <v>240</v>
      </c>
      <c r="AH32" s="345" t="s">
        <v>415</v>
      </c>
      <c r="AI32" s="345" t="str">
        <f t="shared" si="0"/>
        <v/>
      </c>
      <c r="AJ32" s="345"/>
      <c r="AK32" s="347" t="str">
        <f>IF(AC32=0,"",IF(OR(Input!J$9=1,Input!H114=1),ROUND((AC32*AE32*AG32),0),ROUND((AC32*AE32*AG32*1.732),0)))</f>
        <v/>
      </c>
      <c r="AT32" s="51" t="s">
        <v>487</v>
      </c>
      <c r="AU32" s="51">
        <f>AW29</f>
        <v>5000</v>
      </c>
      <c r="AV32" s="51" t="s">
        <v>497</v>
      </c>
      <c r="AW32" s="51">
        <f>AU32/2</f>
        <v>2500</v>
      </c>
      <c r="AX32" s="51" t="s">
        <v>488</v>
      </c>
    </row>
    <row r="33" spans="2:53">
      <c r="B33" s="51" t="str">
        <f t="shared" si="12"/>
        <v/>
      </c>
      <c r="D33" s="335"/>
      <c r="E33" s="321" t="str">
        <f t="shared" si="13"/>
        <v/>
      </c>
      <c r="G33" s="61" t="s">
        <v>546</v>
      </c>
      <c r="H33" s="61"/>
      <c r="I33" s="61"/>
      <c r="J33" s="61"/>
      <c r="K33" s="61"/>
      <c r="L33" s="340"/>
      <c r="M33" s="340" t="s">
        <v>66</v>
      </c>
      <c r="AA33" s="51">
        <f t="shared" si="2"/>
        <v>31</v>
      </c>
      <c r="AB33" s="343" t="str">
        <f>IF(ISBLANK(Input!D115)=TRUE,"",Input!D115)</f>
        <v/>
      </c>
      <c r="AC33" s="345">
        <f>Input!E115</f>
        <v>0</v>
      </c>
      <c r="AD33" s="345" t="s">
        <v>76</v>
      </c>
      <c r="AE33" s="345">
        <f>Input!F115</f>
        <v>0</v>
      </c>
      <c r="AF33" s="345" t="s">
        <v>568</v>
      </c>
      <c r="AG33" s="346">
        <f>Input!Q$4</f>
        <v>240</v>
      </c>
      <c r="AH33" s="345" t="s">
        <v>415</v>
      </c>
      <c r="AI33" s="345" t="str">
        <f t="shared" si="0"/>
        <v/>
      </c>
      <c r="AJ33" s="345"/>
      <c r="AK33" s="347" t="str">
        <f>IF(AC33=0,"",IF(OR(Input!J$9=1,Input!H115=1),ROUND((AC33*AE33*AG33),0),ROUND((AC33*AE33*AG33*1.732),0)))</f>
        <v/>
      </c>
      <c r="AT33" s="51" t="s">
        <v>487</v>
      </c>
      <c r="AU33" s="334" t="str">
        <f>TEXT(AU32,"#,##0")</f>
        <v>5,000</v>
      </c>
      <c r="AV33" s="51" t="s">
        <v>497</v>
      </c>
      <c r="AW33" s="334" t="str">
        <f>TEXT(AW32,"#,##0")</f>
        <v>2,500</v>
      </c>
      <c r="AX33" s="51" t="s">
        <v>488</v>
      </c>
      <c r="BA33" s="51" t="str">
        <f>IF(AU26=1,"",CONCATENATE(AT33,AU33,AV33,AW33,AX33))</f>
        <v/>
      </c>
    </row>
    <row r="34" spans="2:53">
      <c r="B34" s="51" t="str">
        <f t="shared" si="12"/>
        <v/>
      </c>
      <c r="D34" s="335"/>
      <c r="E34" s="321" t="str">
        <f t="shared" si="13"/>
        <v/>
      </c>
      <c r="G34" s="64" t="str">
        <f>IF(AND(S1=2002,Input!J9="3Y"),"PROHIBITED REDUCTION - 220.22",IF(AND(S1&lt;&gt;2002,Input!J9="3Y"),"PROHIBITED REDUCTION - 220.61(C)(1)",IF(S1&lt;&gt;2002,"TABLE 220.54","TABLE 220.18")))</f>
        <v>TABLE 220.54</v>
      </c>
      <c r="H34" s="64"/>
      <c r="I34" s="64"/>
      <c r="J34" s="64"/>
      <c r="K34" s="64"/>
      <c r="L34" s="340"/>
      <c r="M34" s="340" t="s">
        <v>66</v>
      </c>
      <c r="AA34" s="51">
        <f t="shared" si="2"/>
        <v>32</v>
      </c>
      <c r="AB34" s="343" t="str">
        <f>IF(ISBLANK(Input!D116)=TRUE,"",Input!D116)</f>
        <v/>
      </c>
      <c r="AC34" s="345">
        <f>Input!E116</f>
        <v>0</v>
      </c>
      <c r="AD34" s="345" t="s">
        <v>76</v>
      </c>
      <c r="AE34" s="345">
        <f>Input!F116</f>
        <v>0</v>
      </c>
      <c r="AF34" s="345" t="s">
        <v>568</v>
      </c>
      <c r="AG34" s="346">
        <f>Input!Q$4</f>
        <v>240</v>
      </c>
      <c r="AH34" s="345" t="s">
        <v>415</v>
      </c>
      <c r="AI34" s="345" t="str">
        <f t="shared" si="0"/>
        <v/>
      </c>
      <c r="AJ34" s="345"/>
      <c r="AK34" s="347" t="str">
        <f>IF(AC34=0,"",IF(OR(Input!J$9=1,Input!H116=1),ROUND((AC34*AE34*AG34),0),ROUND((AC34*AE34*AG34*1.732),0)))</f>
        <v/>
      </c>
    </row>
    <row r="35" spans="2:53">
      <c r="B35" s="51" t="str">
        <f t="shared" si="12"/>
        <v/>
      </c>
      <c r="D35" s="335"/>
      <c r="E35" s="321" t="str">
        <f t="shared" si="13"/>
        <v/>
      </c>
      <c r="G35" s="340" t="str">
        <f>AJ104</f>
        <v xml:space="preserve">70% OF TABLE 220.54 ( 5,000 VA 1.00 VA X 0.70 ) = </v>
      </c>
      <c r="H35" s="340"/>
      <c r="I35" s="340"/>
      <c r="J35" s="340"/>
      <c r="K35" s="340"/>
      <c r="L35" s="341"/>
      <c r="M35" s="342">
        <f>AK104</f>
        <v>3500</v>
      </c>
      <c r="AA35" s="51">
        <f t="shared" si="2"/>
        <v>33</v>
      </c>
      <c r="AB35" s="343" t="str">
        <f>IF(ISBLANK(Input!D117)=TRUE,"",Input!D117)</f>
        <v/>
      </c>
      <c r="AC35" s="345">
        <f>Input!E117</f>
        <v>0</v>
      </c>
      <c r="AD35" s="345" t="s">
        <v>76</v>
      </c>
      <c r="AE35" s="345">
        <f>Input!F117</f>
        <v>0</v>
      </c>
      <c r="AF35" s="345" t="s">
        <v>568</v>
      </c>
      <c r="AG35" s="346">
        <f>Input!Q$4</f>
        <v>240</v>
      </c>
      <c r="AH35" s="345" t="s">
        <v>415</v>
      </c>
      <c r="AI35" s="345" t="str">
        <f t="shared" si="0"/>
        <v/>
      </c>
      <c r="AJ35" s="345"/>
      <c r="AK35" s="347" t="str">
        <f>IF(AC35=0,"",IF(OR(Input!J$9=1,Input!H117=1),ROUND((AC35*AE35*AG35),0),ROUND((AC35*AE35*AG35*1.732),0)))</f>
        <v/>
      </c>
      <c r="AT35" s="51" t="s">
        <v>489</v>
      </c>
      <c r="AU35" s="51">
        <f>AW32</f>
        <v>2500</v>
      </c>
      <c r="AV35" s="51" t="s">
        <v>498</v>
      </c>
      <c r="AX35" s="51" t="str">
        <f>IF(AU26=1,"",AU35*3)</f>
        <v/>
      </c>
    </row>
    <row r="36" spans="2:53">
      <c r="B36" s="51" t="str">
        <f t="shared" si="12"/>
        <v/>
      </c>
      <c r="D36" s="335"/>
      <c r="E36" s="321" t="str">
        <f t="shared" si="13"/>
        <v/>
      </c>
      <c r="G36" s="51" t="s">
        <v>66</v>
      </c>
      <c r="M36" s="51" t="s">
        <v>66</v>
      </c>
      <c r="AA36" s="51">
        <f t="shared" si="2"/>
        <v>34</v>
      </c>
      <c r="AB36" s="350" t="str">
        <f>IF(ISBLANK(Input!D118)=TRUE,"",Input!D118)</f>
        <v/>
      </c>
      <c r="AC36" s="351">
        <f>Input!E118</f>
        <v>0</v>
      </c>
      <c r="AD36" s="351" t="s">
        <v>76</v>
      </c>
      <c r="AE36" s="351">
        <f>Input!F118</f>
        <v>0</v>
      </c>
      <c r="AF36" s="351" t="s">
        <v>568</v>
      </c>
      <c r="AG36" s="352">
        <f>Input!Q$4</f>
        <v>240</v>
      </c>
      <c r="AH36" s="351" t="s">
        <v>415</v>
      </c>
      <c r="AI36" s="351" t="str">
        <f t="shared" si="0"/>
        <v/>
      </c>
      <c r="AJ36" s="351"/>
      <c r="AK36" s="353" t="str">
        <f>IF(AC36=0,"",IF(OR(Input!J$9=1,Input!H118=1),ROUND((AC36*AE36*AG36),0),ROUND((AC36*AE36*AG36*1.732),0)))</f>
        <v/>
      </c>
      <c r="AT36" s="51" t="s">
        <v>489</v>
      </c>
      <c r="AU36" s="334" t="str">
        <f>TEXT(AU35,"#,##0")</f>
        <v>2,500</v>
      </c>
      <c r="AV36" s="51" t="s">
        <v>498</v>
      </c>
      <c r="BA36" s="51" t="str">
        <f>IF(AU26=1,"",CONCATENATE(AT36,AU36,AV36,AW36,AX36))</f>
        <v/>
      </c>
    </row>
    <row r="37" spans="2:53">
      <c r="B37" s="51" t="str">
        <f t="shared" si="12"/>
        <v/>
      </c>
      <c r="D37" s="335"/>
      <c r="E37" s="321" t="str">
        <f t="shared" si="13"/>
        <v/>
      </c>
      <c r="G37" s="51" t="s">
        <v>516</v>
      </c>
      <c r="M37" s="321">
        <f>AK106</f>
        <v>2280</v>
      </c>
    </row>
    <row r="38" spans="2:53">
      <c r="B38" s="51" t="str">
        <f t="shared" si="12"/>
        <v/>
      </c>
      <c r="D38" s="335"/>
      <c r="E38" s="321" t="str">
        <f t="shared" si="13"/>
        <v/>
      </c>
      <c r="G38" s="51" t="s">
        <v>66</v>
      </c>
      <c r="M38" s="51" t="s">
        <v>66</v>
      </c>
    </row>
    <row r="39" spans="2:53">
      <c r="D39" s="335"/>
      <c r="E39" s="51" t="s">
        <v>66</v>
      </c>
      <c r="G39" s="51" t="s">
        <v>28</v>
      </c>
      <c r="M39" s="338">
        <f>SUM(M27:M37)</f>
        <v>8885</v>
      </c>
    </row>
    <row r="40" spans="2:53">
      <c r="B40" s="323" t="str">
        <f>IF(S1&lt;&gt;2002,"MISC LOADS NEC 220.82(B)(4)","MISC LOADS NEC 220.30(B)(4)")</f>
        <v>MISC LOADS NEC 220.82(B)(4)</v>
      </c>
      <c r="E40" s="51" t="s">
        <v>66</v>
      </c>
      <c r="G40" s="51" t="s">
        <v>66</v>
      </c>
      <c r="M40" s="51" t="s">
        <v>66</v>
      </c>
    </row>
    <row r="41" spans="2:53">
      <c r="B41" s="51" t="str">
        <f t="shared" ref="B41:B74" si="14">AI3</f>
        <v xml:space="preserve">MIRCOWAVE ( 2 X 9.5 A X 120 V ) = </v>
      </c>
      <c r="D41" s="334"/>
      <c r="E41" s="321">
        <f t="shared" ref="E41:E74" si="15">AK3</f>
        <v>2280</v>
      </c>
      <c r="G41" s="51" t="str">
        <f>AJ109</f>
        <v xml:space="preserve">NEUTRAL LOAD ( 8,885 VA ÷ 240 V ) = </v>
      </c>
      <c r="L41" s="334"/>
      <c r="M41" s="348">
        <f>AL109</f>
        <v>37</v>
      </c>
    </row>
    <row r="42" spans="2:53">
      <c r="B42" s="51" t="str">
        <f t="shared" si="14"/>
        <v xml:space="preserve">CENTRAL VAC ( 1 X 12 A X 120 V ) = </v>
      </c>
      <c r="D42" s="334"/>
      <c r="E42" s="321">
        <f t="shared" si="15"/>
        <v>1440</v>
      </c>
      <c r="G42" s="51" t="s">
        <v>66</v>
      </c>
      <c r="M42" s="51" t="s">
        <v>66</v>
      </c>
      <c r="O42" s="50"/>
      <c r="W42" s="51" t="s">
        <v>219</v>
      </c>
      <c r="X42" s="51" t="str">
        <f>Conduit!G54</f>
        <v>#1/0</v>
      </c>
    </row>
    <row r="43" spans="2:53">
      <c r="B43" s="51" t="str">
        <f t="shared" si="14"/>
        <v/>
      </c>
      <c r="D43" s="334"/>
      <c r="E43" s="321" t="str">
        <f t="shared" si="15"/>
        <v/>
      </c>
      <c r="G43" s="340" t="str">
        <f>IF(S1=2002,"FURTHER DEMAND FACTOR - NEC 220.22","FURTHER DEMAND FACTOR - NEC 220.61(B)(2)")</f>
        <v>FURTHER DEMAND FACTOR - NEC 220.61(B)(2)</v>
      </c>
      <c r="M43" s="51" t="s">
        <v>66</v>
      </c>
      <c r="O43" s="334"/>
      <c r="W43" s="51" t="s">
        <v>522</v>
      </c>
      <c r="X43" s="51" t="str">
        <f>'S-Sec Cable'!J18</f>
        <v>ERROR</v>
      </c>
    </row>
    <row r="44" spans="2:53">
      <c r="B44" s="51" t="str">
        <f t="shared" si="14"/>
        <v/>
      </c>
      <c r="D44" s="334"/>
      <c r="E44" s="321" t="str">
        <f t="shared" si="15"/>
        <v/>
      </c>
      <c r="G44" s="51" t="str">
        <f>T29</f>
        <v>FIRST 200 A @ 100% (37 A X 1.00 ) =</v>
      </c>
      <c r="M44" s="348">
        <f>IF(OR(M41=200,M41&gt;200),200,M41)</f>
        <v>37</v>
      </c>
      <c r="P44" s="51" t="s">
        <v>282</v>
      </c>
      <c r="Q44" s="51" t="str">
        <f>Input!E16</f>
        <v>CONDUIT</v>
      </c>
    </row>
    <row r="45" spans="2:53">
      <c r="B45" s="51" t="str">
        <f t="shared" si="14"/>
        <v/>
      </c>
      <c r="D45" s="334"/>
      <c r="E45" s="321" t="str">
        <f t="shared" si="15"/>
        <v/>
      </c>
      <c r="G45" s="51" t="str">
        <f>T32</f>
        <v>REMAINDER @ 70% ( 0 A X 0.70 ) =</v>
      </c>
      <c r="M45" s="348">
        <f>IF(M41&gt;200,((M41-200)*0.7),0)</f>
        <v>0</v>
      </c>
      <c r="O45" s="50"/>
      <c r="Q45" s="51" t="s">
        <v>529</v>
      </c>
      <c r="X45" s="51" t="str">
        <f>IF(Input!E16&lt;&gt;"CONDUIT",X43,X42)</f>
        <v>#1/0</v>
      </c>
      <c r="AB45" s="302" t="s">
        <v>150</v>
      </c>
      <c r="AC45" s="302" t="s">
        <v>150</v>
      </c>
      <c r="AD45" s="303" t="s">
        <v>530</v>
      </c>
    </row>
    <row r="46" spans="2:53">
      <c r="B46" s="51" t="str">
        <f t="shared" si="14"/>
        <v/>
      </c>
      <c r="D46" s="334"/>
      <c r="E46" s="321" t="str">
        <f t="shared" si="15"/>
        <v/>
      </c>
      <c r="G46" s="51" t="s">
        <v>66</v>
      </c>
      <c r="M46" s="51" t="s">
        <v>66</v>
      </c>
      <c r="O46" s="334"/>
      <c r="Q46" s="51" t="s">
        <v>66</v>
      </c>
      <c r="AB46" s="304" t="s">
        <v>133</v>
      </c>
      <c r="AC46" s="304" t="s">
        <v>133</v>
      </c>
      <c r="AD46" s="305" t="s">
        <v>128</v>
      </c>
    </row>
    <row r="47" spans="2:53">
      <c r="B47" s="51" t="str">
        <f t="shared" si="14"/>
        <v/>
      </c>
      <c r="D47" s="334"/>
      <c r="E47" s="321" t="str">
        <f t="shared" si="15"/>
        <v/>
      </c>
      <c r="G47" s="51" t="s">
        <v>24</v>
      </c>
      <c r="M47" s="349">
        <f>SUM(M44:M45)</f>
        <v>37</v>
      </c>
      <c r="P47" s="51" t="s">
        <v>133</v>
      </c>
      <c r="Q47" s="51">
        <f>Input!E13</f>
        <v>0</v>
      </c>
      <c r="X47" s="51">
        <f>MATCH(X45,AB48:AB65,0)</f>
        <v>6</v>
      </c>
      <c r="AB47" s="304" t="s">
        <v>156</v>
      </c>
      <c r="AC47" s="304" t="s">
        <v>157</v>
      </c>
      <c r="AD47" s="305"/>
    </row>
    <row r="48" spans="2:53">
      <c r="B48" s="51" t="str">
        <f t="shared" si="14"/>
        <v/>
      </c>
      <c r="D48" s="334"/>
      <c r="E48" s="321" t="str">
        <f t="shared" si="15"/>
        <v/>
      </c>
      <c r="G48" s="51" t="s">
        <v>66</v>
      </c>
      <c r="P48" s="51" t="s">
        <v>125</v>
      </c>
      <c r="Q48" s="51">
        <f>Input!E14</f>
        <v>0</v>
      </c>
      <c r="S48" s="51" t="str">
        <f>CONCATENATE(Q47,Q46,Q48,Q45)</f>
        <v>0 0 --</v>
      </c>
      <c r="V48" s="49"/>
      <c r="X48" s="51" t="s">
        <v>535</v>
      </c>
      <c r="AA48" s="51">
        <v>1</v>
      </c>
      <c r="AB48" s="302" t="s">
        <v>158</v>
      </c>
      <c r="AC48" s="302">
        <v>5</v>
      </c>
      <c r="AD48" s="303" t="s">
        <v>217</v>
      </c>
    </row>
    <row r="49" spans="2:30">
      <c r="B49" s="51" t="str">
        <f t="shared" si="14"/>
        <v/>
      </c>
      <c r="D49" s="334"/>
      <c r="E49" s="321" t="str">
        <f t="shared" si="15"/>
        <v/>
      </c>
      <c r="G49" s="51" t="s">
        <v>66</v>
      </c>
      <c r="P49" s="51" t="s">
        <v>526</v>
      </c>
      <c r="Q49" s="51">
        <f>IF(Input!E9="NO","YES",99)</f>
        <v>99</v>
      </c>
      <c r="S49" s="51" t="str">
        <f>CONCATENATE(Q45,Q46,Q47,Q46,Q48,)</f>
        <v xml:space="preserve"> -- 0 0</v>
      </c>
      <c r="V49" s="49"/>
      <c r="X49" s="51" t="str">
        <f>VLOOKUP(X47,AA48:AD65,4)</f>
        <v>#6</v>
      </c>
      <c r="AA49" s="51">
        <v>2</v>
      </c>
      <c r="AB49" s="304" t="s">
        <v>161</v>
      </c>
      <c r="AC49" s="304">
        <v>6</v>
      </c>
      <c r="AD49" s="305" t="s">
        <v>217</v>
      </c>
    </row>
    <row r="50" spans="2:30">
      <c r="B50" s="51" t="str">
        <f t="shared" si="14"/>
        <v/>
      </c>
      <c r="D50" s="334"/>
      <c r="E50" s="321" t="str">
        <f t="shared" si="15"/>
        <v/>
      </c>
      <c r="G50" s="323" t="str">
        <f>IF(Input!J3="NO"," ","VOLTAGE DROP CALCULATIONS")</f>
        <v>VOLTAGE DROP CALCULATIONS</v>
      </c>
      <c r="H50" s="323"/>
      <c r="I50" s="323"/>
      <c r="J50" s="323"/>
      <c r="K50" s="323"/>
      <c r="X50" s="51" t="s">
        <v>66</v>
      </c>
      <c r="AA50" s="51">
        <v>3</v>
      </c>
      <c r="AB50" s="304" t="s">
        <v>163</v>
      </c>
      <c r="AC50" s="304">
        <v>6</v>
      </c>
      <c r="AD50" s="305" t="s">
        <v>217</v>
      </c>
    </row>
    <row r="51" spans="2:30">
      <c r="B51" s="51" t="str">
        <f t="shared" si="14"/>
        <v/>
      </c>
      <c r="D51" s="334"/>
      <c r="E51" s="321" t="str">
        <f t="shared" si="15"/>
        <v/>
      </c>
      <c r="G51" s="51" t="str">
        <f>IF(Input!J3="NO"," ",IF(Input!J9=1,Conduit!AS116,Conduit!AS117))</f>
        <v>( 2 X 25' L X 0.2010 R X 114.0 A ÷ 1,000 )  = 1.1 VD</v>
      </c>
      <c r="L51" s="354"/>
      <c r="Q51" s="51">
        <f>Input!E10</f>
        <v>0</v>
      </c>
      <c r="X51" s="51" t="s">
        <v>534</v>
      </c>
      <c r="AA51" s="51">
        <v>4</v>
      </c>
      <c r="AB51" s="304" t="s">
        <v>162</v>
      </c>
      <c r="AC51" s="304">
        <v>8</v>
      </c>
      <c r="AD51" s="305" t="s">
        <v>217</v>
      </c>
    </row>
    <row r="52" spans="2:30">
      <c r="B52" s="51" t="str">
        <f t="shared" si="14"/>
        <v/>
      </c>
      <c r="D52" s="334"/>
      <c r="E52" s="321" t="str">
        <f t="shared" si="15"/>
        <v/>
      </c>
      <c r="G52" s="51" t="str">
        <f>IF(Input!J3="NO"," ",IF(Input!J9=1,Conduit!AW116,Conduit!AW117))</f>
        <v>( 1.1 VD ÷ 240 V X 100 ) = 0.5 % VD</v>
      </c>
      <c r="P52" s="51" t="str">
        <f>Export!F4</f>
        <v>60A-2P</v>
      </c>
      <c r="Q52" s="51">
        <f>Input!E11</f>
        <v>0</v>
      </c>
      <c r="AA52" s="51">
        <v>5</v>
      </c>
      <c r="AB52" s="304" t="s">
        <v>164</v>
      </c>
      <c r="AC52" s="304">
        <v>9</v>
      </c>
      <c r="AD52" s="305" t="s">
        <v>158</v>
      </c>
    </row>
    <row r="53" spans="2:30">
      <c r="B53" s="51" t="str">
        <f t="shared" si="14"/>
        <v/>
      </c>
      <c r="D53" s="334"/>
      <c r="E53" s="321" t="str">
        <f t="shared" si="15"/>
        <v/>
      </c>
      <c r="G53" s="51" t="s">
        <v>66</v>
      </c>
      <c r="Q53" s="51">
        <f>Input!E12</f>
        <v>0</v>
      </c>
      <c r="X53" s="51" t="str">
        <f>CONCATENATE(X48,X49,X50,X51)</f>
        <v xml:space="preserve"> ---------------------------  #6 UFER GND</v>
      </c>
      <c r="AA53" s="51">
        <v>6</v>
      </c>
      <c r="AB53" s="304" t="s">
        <v>165</v>
      </c>
      <c r="AC53" s="304">
        <v>10</v>
      </c>
      <c r="AD53" s="305" t="s">
        <v>158</v>
      </c>
    </row>
    <row r="54" spans="2:30">
      <c r="B54" s="51" t="str">
        <f t="shared" si="14"/>
        <v/>
      </c>
      <c r="D54" s="334"/>
      <c r="E54" s="321" t="str">
        <f t="shared" si="15"/>
        <v/>
      </c>
      <c r="G54" s="323" t="str">
        <f>IF(Input!J6="NO"," ","FAULT CURRENT CALCULATIONS")</f>
        <v>FAULT CURRENT CALCULATIONS</v>
      </c>
      <c r="H54" s="323"/>
      <c r="I54" s="323"/>
      <c r="J54" s="323"/>
      <c r="K54" s="323"/>
      <c r="AA54" s="51">
        <v>7</v>
      </c>
      <c r="AB54" s="304" t="s">
        <v>166</v>
      </c>
      <c r="AC54" s="304">
        <v>11</v>
      </c>
      <c r="AD54" s="305" t="s">
        <v>158</v>
      </c>
    </row>
    <row r="55" spans="2:30">
      <c r="B55" s="51" t="str">
        <f t="shared" si="14"/>
        <v/>
      </c>
      <c r="D55" s="334"/>
      <c r="E55" s="321" t="str">
        <f t="shared" si="15"/>
        <v/>
      </c>
      <c r="G55" s="51" t="str">
        <f>IF(Input!J6="NO"," ",Short!S4)</f>
        <v>(( 15,818 AFC X 1.00 UA ) + 0 MC ) = 15,818 AFC</v>
      </c>
      <c r="P55" s="323" t="s">
        <v>283</v>
      </c>
      <c r="AA55" s="51">
        <v>8</v>
      </c>
      <c r="AB55" s="304" t="s">
        <v>169</v>
      </c>
      <c r="AC55" s="304">
        <v>12</v>
      </c>
      <c r="AD55" s="305" t="s">
        <v>161</v>
      </c>
    </row>
    <row r="56" spans="2:30">
      <c r="B56" s="51" t="str">
        <f t="shared" si="14"/>
        <v/>
      </c>
      <c r="D56" s="334"/>
      <c r="E56" s="321" t="str">
        <f t="shared" si="15"/>
        <v/>
      </c>
      <c r="G56" s="51" t="str">
        <f>IF(Input!J6="NO"," ",Short!S22)</f>
        <v>( 2 X 25 L X 15,818 AFC  ) ÷ ( 2,353 C X 1 N X 240 V ) = 1.401 CF</v>
      </c>
      <c r="O56" s="357" t="s">
        <v>525</v>
      </c>
      <c r="P56" s="49" t="str">
        <f>Export!H4</f>
        <v xml:space="preserve"> 25'</v>
      </c>
      <c r="R56" s="51" t="str">
        <f t="shared" ref="R56:R61" si="16">CONCATENATE(O56,P56,Q56)</f>
        <v>--- 25'</v>
      </c>
      <c r="AA56" s="51">
        <v>9</v>
      </c>
      <c r="AB56" s="305" t="s">
        <v>169</v>
      </c>
      <c r="AC56" s="304">
        <v>12</v>
      </c>
      <c r="AD56" s="305" t="s">
        <v>161</v>
      </c>
    </row>
    <row r="57" spans="2:30">
      <c r="B57" s="51" t="str">
        <f t="shared" si="14"/>
        <v/>
      </c>
      <c r="D57" s="334"/>
      <c r="E57" s="321" t="str">
        <f t="shared" si="15"/>
        <v/>
      </c>
      <c r="G57" s="51" t="str">
        <f>IF(Input!J6="NO"," ",Short!S26)</f>
        <v xml:space="preserve">( 1 ) ÷ ( 1 + 1.401 CF ) = 0.416 CM </v>
      </c>
      <c r="O57" s="357" t="s">
        <v>525</v>
      </c>
      <c r="P57" s="51" t="str">
        <f>Export!I4</f>
        <v xml:space="preserve"> 1- SER CABLE</v>
      </c>
      <c r="Q57" s="51" t="s">
        <v>66</v>
      </c>
      <c r="R57" s="51" t="str">
        <f t="shared" si="16"/>
        <v xml:space="preserve">--- 1- SER CABLE </v>
      </c>
      <c r="T57" s="51" t="str">
        <f>CONCATENATE(P57,Q57,O57)</f>
        <v xml:space="preserve"> 1- SER CABLE ---</v>
      </c>
      <c r="AA57" s="51">
        <v>10</v>
      </c>
      <c r="AB57" s="305" t="s">
        <v>170</v>
      </c>
      <c r="AC57" s="304">
        <v>12</v>
      </c>
      <c r="AD57" s="305" t="s">
        <v>161</v>
      </c>
    </row>
    <row r="58" spans="2:30">
      <c r="B58" s="51" t="str">
        <f t="shared" si="14"/>
        <v/>
      </c>
      <c r="D58" s="334"/>
      <c r="E58" s="321" t="str">
        <f t="shared" si="15"/>
        <v/>
      </c>
      <c r="G58" s="51" t="str">
        <f>IF(Input!J6="NO"," ",Short!S30)</f>
        <v>( 15,818 AFC X 0.416 CM ) = 6,580 CLC</v>
      </c>
      <c r="O58" s="51" t="s">
        <v>397</v>
      </c>
      <c r="P58" s="335" t="str">
        <f>Export!J4</f>
        <v xml:space="preserve"> 3-#4 AL  </v>
      </c>
      <c r="R58" s="51" t="str">
        <f t="shared" si="16"/>
        <v xml:space="preserve">     3-#4 AL  </v>
      </c>
      <c r="AA58" s="51">
        <v>11</v>
      </c>
      <c r="AB58" s="305" t="s">
        <v>172</v>
      </c>
      <c r="AC58" s="304">
        <v>12</v>
      </c>
      <c r="AD58" s="305" t="s">
        <v>161</v>
      </c>
    </row>
    <row r="59" spans="2:30">
      <c r="B59" s="51" t="str">
        <f t="shared" si="14"/>
        <v/>
      </c>
      <c r="D59" s="334"/>
      <c r="E59" s="321" t="str">
        <f t="shared" si="15"/>
        <v/>
      </c>
      <c r="O59" s="51" t="s">
        <v>397</v>
      </c>
      <c r="P59" s="51" t="str">
        <f>Export!K4</f>
        <v xml:space="preserve"> 1-#6 GND</v>
      </c>
      <c r="R59" s="51" t="str">
        <f t="shared" si="16"/>
        <v xml:space="preserve">     1-#6 GND</v>
      </c>
      <c r="AA59" s="51">
        <v>12</v>
      </c>
      <c r="AB59" s="305" t="s">
        <v>173</v>
      </c>
      <c r="AC59" s="304">
        <v>12</v>
      </c>
      <c r="AD59" s="305" t="s">
        <v>161</v>
      </c>
    </row>
    <row r="60" spans="2:30">
      <c r="B60" s="51" t="str">
        <f t="shared" si="14"/>
        <v/>
      </c>
      <c r="D60" s="334"/>
      <c r="E60" s="321" t="str">
        <f t="shared" si="15"/>
        <v/>
      </c>
      <c r="G60" s="323"/>
      <c r="H60" s="323"/>
      <c r="I60" s="1"/>
      <c r="J60" s="1"/>
      <c r="K60" s="1"/>
      <c r="L60" s="1"/>
      <c r="M60" s="1"/>
      <c r="O60" s="51" t="s">
        <v>397</v>
      </c>
      <c r="P60" s="51" t="str">
        <f>Export!L4</f>
        <v xml:space="preserve"> </v>
      </c>
      <c r="R60" s="51" t="str">
        <f t="shared" si="16"/>
        <v xml:space="preserve">     </v>
      </c>
      <c r="AA60" s="51">
        <v>13</v>
      </c>
      <c r="AB60" s="305" t="s">
        <v>175</v>
      </c>
      <c r="AC60" s="304">
        <v>12</v>
      </c>
      <c r="AD60" s="305" t="s">
        <v>161</v>
      </c>
    </row>
    <row r="61" spans="2:30">
      <c r="B61" s="51" t="str">
        <f t="shared" si="14"/>
        <v/>
      </c>
      <c r="D61" s="334"/>
      <c r="E61" s="321" t="str">
        <f t="shared" si="15"/>
        <v/>
      </c>
      <c r="G61" s="49"/>
      <c r="H61" s="383" t="s">
        <v>455</v>
      </c>
      <c r="I61" s="1"/>
      <c r="J61" s="1"/>
      <c r="K61" s="1"/>
      <c r="L61" s="1"/>
      <c r="M61" s="1"/>
      <c r="O61" s="51" t="s">
        <v>397</v>
      </c>
      <c r="P61" s="51" t="str">
        <f>Export!M4</f>
        <v xml:space="preserve"> </v>
      </c>
      <c r="R61" s="51" t="str">
        <f t="shared" si="16"/>
        <v xml:space="preserve">     </v>
      </c>
      <c r="AA61" s="51">
        <v>14</v>
      </c>
      <c r="AB61" s="305" t="s">
        <v>176</v>
      </c>
      <c r="AC61" s="304">
        <v>12</v>
      </c>
      <c r="AD61" s="305" t="s">
        <v>161</v>
      </c>
    </row>
    <row r="62" spans="2:30">
      <c r="B62" s="51" t="str">
        <f t="shared" si="14"/>
        <v/>
      </c>
      <c r="D62" s="334"/>
      <c r="E62" s="321" t="str">
        <f t="shared" si="15"/>
        <v/>
      </c>
      <c r="H62" s="331" t="str">
        <f t="shared" ref="H62:H79" si="17">R119</f>
        <v>A - Amps</v>
      </c>
      <c r="I62" s="1"/>
      <c r="J62" s="1"/>
      <c r="K62" s="1"/>
      <c r="L62" s="1"/>
      <c r="M62" s="1"/>
      <c r="O62" s="51" t="s">
        <v>397</v>
      </c>
      <c r="AA62" s="51">
        <v>15</v>
      </c>
      <c r="AB62" s="305" t="s">
        <v>177</v>
      </c>
      <c r="AC62" s="305">
        <v>12</v>
      </c>
      <c r="AD62" s="305" t="s">
        <v>161</v>
      </c>
    </row>
    <row r="63" spans="2:30">
      <c r="B63" s="51" t="str">
        <f t="shared" si="14"/>
        <v/>
      </c>
      <c r="D63" s="334"/>
      <c r="E63" s="321" t="str">
        <f t="shared" si="15"/>
        <v/>
      </c>
      <c r="G63" s="330"/>
      <c r="H63" s="331" t="str">
        <f t="shared" si="17"/>
        <v>AFC - Available Fault Current</v>
      </c>
      <c r="I63" s="1"/>
      <c r="J63" s="1"/>
      <c r="K63" s="1"/>
      <c r="L63" s="1"/>
      <c r="M63" s="1"/>
      <c r="N63" s="331"/>
      <c r="O63" s="51" t="s">
        <v>397</v>
      </c>
      <c r="AA63" s="51">
        <v>16</v>
      </c>
      <c r="AB63" s="305" t="s">
        <v>531</v>
      </c>
      <c r="AC63" s="305">
        <v>12</v>
      </c>
      <c r="AD63" s="305" t="s">
        <v>161</v>
      </c>
    </row>
    <row r="64" spans="2:30">
      <c r="B64" s="51" t="str">
        <f t="shared" si="14"/>
        <v/>
      </c>
      <c r="D64" s="334"/>
      <c r="E64" s="321" t="str">
        <f t="shared" si="15"/>
        <v/>
      </c>
      <c r="G64" s="331"/>
      <c r="H64" s="331" t="str">
        <f t="shared" si="17"/>
        <v>C - Conductor Constance</v>
      </c>
      <c r="I64" s="1"/>
      <c r="J64" s="1"/>
      <c r="K64" s="1"/>
      <c r="L64" s="1"/>
      <c r="M64" s="1"/>
      <c r="N64" s="331"/>
      <c r="O64" s="51" t="s">
        <v>397</v>
      </c>
      <c r="AA64" s="51">
        <v>17</v>
      </c>
      <c r="AB64" s="305" t="s">
        <v>532</v>
      </c>
      <c r="AC64" s="305">
        <v>12</v>
      </c>
      <c r="AD64" s="305" t="s">
        <v>161</v>
      </c>
    </row>
    <row r="65" spans="2:30">
      <c r="B65" s="51" t="str">
        <f t="shared" si="14"/>
        <v xml:space="preserve">PUMP ( 2 X 21 A X 240 V ) = </v>
      </c>
      <c r="D65" s="334"/>
      <c r="E65" s="321">
        <f t="shared" si="15"/>
        <v>10080</v>
      </c>
      <c r="G65" s="331"/>
      <c r="H65" s="331" t="str">
        <f t="shared" si="17"/>
        <v>CF - Conductor Factor</v>
      </c>
      <c r="I65" s="1"/>
      <c r="J65" s="1"/>
      <c r="K65" s="1"/>
      <c r="L65" s="1"/>
      <c r="M65" s="1"/>
      <c r="N65" s="331"/>
      <c r="O65" s="51" t="s">
        <v>397</v>
      </c>
      <c r="P65" s="51" t="str">
        <f>Export!F4</f>
        <v>60A-2P</v>
      </c>
      <c r="AA65" s="51">
        <v>18</v>
      </c>
      <c r="AB65" s="306" t="s">
        <v>533</v>
      </c>
      <c r="AC65" s="306">
        <v>12</v>
      </c>
      <c r="AD65" s="306" t="s">
        <v>161</v>
      </c>
    </row>
    <row r="66" spans="2:30">
      <c r="B66" s="51" t="str">
        <f t="shared" si="14"/>
        <v/>
      </c>
      <c r="D66" s="334"/>
      <c r="E66" s="321" t="str">
        <f t="shared" si="15"/>
        <v/>
      </c>
      <c r="G66" s="331"/>
      <c r="H66" s="331" t="str">
        <f t="shared" si="17"/>
        <v>CLC - Conductor Let Through Current</v>
      </c>
      <c r="I66" s="1"/>
      <c r="J66" s="1"/>
      <c r="K66" s="1"/>
      <c r="L66" s="1"/>
      <c r="M66" s="1"/>
      <c r="N66" s="331"/>
    </row>
    <row r="67" spans="2:30">
      <c r="B67" s="51" t="str">
        <f t="shared" si="14"/>
        <v/>
      </c>
      <c r="D67" s="334"/>
      <c r="E67" s="321" t="str">
        <f t="shared" si="15"/>
        <v/>
      </c>
      <c r="G67" s="380"/>
      <c r="H67" s="331" t="str">
        <f t="shared" si="17"/>
        <v>CM - Conductor Multiplier</v>
      </c>
      <c r="I67" s="1"/>
      <c r="J67" s="1"/>
      <c r="K67" s="1"/>
      <c r="L67" s="1"/>
      <c r="M67" s="1"/>
      <c r="N67" s="331"/>
    </row>
    <row r="68" spans="2:30">
      <c r="B68" s="51" t="str">
        <f t="shared" si="14"/>
        <v/>
      </c>
      <c r="D68" s="334"/>
      <c r="E68" s="321" t="str">
        <f t="shared" si="15"/>
        <v/>
      </c>
      <c r="G68" s="358"/>
      <c r="H68" s="331" t="str">
        <f t="shared" si="17"/>
        <v>L - Length</v>
      </c>
      <c r="I68" s="1"/>
      <c r="J68" s="1"/>
      <c r="K68" s="1"/>
      <c r="L68" s="1"/>
      <c r="M68" s="1"/>
      <c r="N68" s="331"/>
      <c r="P68" s="362" t="str">
        <f>Export!D4</f>
        <v>SP1</v>
      </c>
    </row>
    <row r="69" spans="2:30">
      <c r="B69" s="51" t="str">
        <f t="shared" si="14"/>
        <v/>
      </c>
      <c r="D69" s="334"/>
      <c r="E69" s="321" t="str">
        <f t="shared" si="15"/>
        <v/>
      </c>
      <c r="G69" s="358"/>
      <c r="H69" s="331" t="str">
        <f t="shared" si="17"/>
        <v>MC - Motor Contribution</v>
      </c>
      <c r="I69" s="1"/>
      <c r="J69" s="1"/>
      <c r="K69" s="1"/>
      <c r="L69" s="1"/>
      <c r="M69" s="1"/>
      <c r="N69" s="331"/>
    </row>
    <row r="70" spans="2:30">
      <c r="B70" s="51" t="str">
        <f t="shared" si="14"/>
        <v/>
      </c>
      <c r="D70" s="334"/>
      <c r="E70" s="321" t="str">
        <f t="shared" si="15"/>
        <v/>
      </c>
      <c r="G70" s="358"/>
      <c r="H70" s="331" t="str">
        <f t="shared" si="17"/>
        <v>N - Number of Conductors</v>
      </c>
      <c r="I70" s="1"/>
      <c r="J70" s="1"/>
      <c r="K70" s="1"/>
      <c r="L70" s="1"/>
      <c r="M70" s="1"/>
      <c r="N70" s="331"/>
    </row>
    <row r="71" spans="2:30">
      <c r="B71" s="51" t="str">
        <f t="shared" si="14"/>
        <v/>
      </c>
      <c r="D71" s="334"/>
      <c r="E71" s="321" t="str">
        <f t="shared" si="15"/>
        <v/>
      </c>
      <c r="G71" s="358"/>
      <c r="H71" s="331" t="str">
        <f t="shared" si="17"/>
        <v>R - Resistance</v>
      </c>
      <c r="I71" s="1"/>
      <c r="J71" s="1"/>
      <c r="K71" s="1"/>
      <c r="L71" s="1"/>
      <c r="M71" s="1"/>
      <c r="N71" s="331"/>
    </row>
    <row r="72" spans="2:30">
      <c r="B72" s="51" t="str">
        <f t="shared" si="14"/>
        <v/>
      </c>
      <c r="D72" s="334"/>
      <c r="E72" s="321" t="str">
        <f t="shared" si="15"/>
        <v/>
      </c>
      <c r="G72" s="358"/>
      <c r="H72" s="331" t="str">
        <f t="shared" si="17"/>
        <v>UA - Utility Adjustment</v>
      </c>
      <c r="I72" s="1"/>
      <c r="J72" s="1"/>
      <c r="K72" s="1"/>
      <c r="L72" s="1"/>
      <c r="M72" s="1"/>
      <c r="N72" s="331"/>
    </row>
    <row r="73" spans="2:30">
      <c r="B73" s="51" t="str">
        <f t="shared" si="14"/>
        <v/>
      </c>
      <c r="D73" s="334"/>
      <c r="E73" s="321" t="str">
        <f t="shared" si="15"/>
        <v/>
      </c>
      <c r="G73" s="358"/>
      <c r="H73" s="331" t="str">
        <f t="shared" si="17"/>
        <v>V - Volts</v>
      </c>
      <c r="I73" s="1"/>
      <c r="J73" s="1"/>
      <c r="K73" s="1"/>
      <c r="L73" s="1"/>
      <c r="M73" s="1"/>
      <c r="N73" s="331"/>
    </row>
    <row r="74" spans="2:30">
      <c r="B74" s="51" t="str">
        <f t="shared" si="14"/>
        <v/>
      </c>
      <c r="D74" s="334"/>
      <c r="E74" s="321" t="str">
        <f t="shared" si="15"/>
        <v/>
      </c>
      <c r="G74" s="358"/>
      <c r="H74" s="331" t="str">
        <f t="shared" si="17"/>
        <v>VA - Volt Amps</v>
      </c>
      <c r="I74" s="1"/>
      <c r="J74" s="1"/>
      <c r="K74" s="1"/>
      <c r="L74" s="1"/>
      <c r="M74" s="1"/>
      <c r="N74" s="331"/>
    </row>
    <row r="75" spans="2:30">
      <c r="B75" s="51" t="s">
        <v>66</v>
      </c>
      <c r="E75" s="51" t="s">
        <v>66</v>
      </c>
      <c r="G75" s="358"/>
      <c r="H75" s="331" t="str">
        <f t="shared" si="17"/>
        <v>VD - Voltage Drop</v>
      </c>
      <c r="I75" s="1"/>
      <c r="J75" s="1"/>
      <c r="K75" s="1"/>
      <c r="L75" s="1"/>
      <c r="M75" s="1"/>
      <c r="N75" s="331"/>
    </row>
    <row r="76" spans="2:30">
      <c r="B76" s="51" t="s">
        <v>26</v>
      </c>
      <c r="E76" s="338">
        <f>SUM(E6:E74)</f>
        <v>23540</v>
      </c>
      <c r="G76" s="358"/>
      <c r="H76" s="331" t="str">
        <f t="shared" si="17"/>
        <v xml:space="preserve"> </v>
      </c>
      <c r="I76" s="1"/>
      <c r="J76" s="1"/>
      <c r="K76" s="1"/>
      <c r="L76" s="1"/>
      <c r="M76" s="1"/>
      <c r="N76" s="331"/>
    </row>
    <row r="77" spans="2:30">
      <c r="B77" s="51" t="s">
        <v>80</v>
      </c>
      <c r="E77" s="321">
        <f>IF(E76&lt;10000.0001,E76,10000)</f>
        <v>10000</v>
      </c>
      <c r="G77" s="358"/>
      <c r="H77" s="331" t="str">
        <f t="shared" si="17"/>
        <v xml:space="preserve"> </v>
      </c>
      <c r="I77" s="1"/>
      <c r="J77" s="1"/>
      <c r="K77" s="1"/>
      <c r="L77" s="1"/>
      <c r="M77" s="1"/>
      <c r="N77" s="331"/>
    </row>
    <row r="78" spans="2:30">
      <c r="B78" s="51" t="s">
        <v>27</v>
      </c>
      <c r="E78" s="321">
        <f>IF(E76&gt;10000,(E76-10000)*0.4,0)</f>
        <v>5416</v>
      </c>
      <c r="G78" s="358"/>
      <c r="H78" s="331" t="str">
        <f t="shared" si="17"/>
        <v xml:space="preserve"> </v>
      </c>
      <c r="I78" s="1"/>
      <c r="J78" s="1"/>
      <c r="K78" s="1"/>
      <c r="L78" s="1"/>
      <c r="M78" s="1"/>
      <c r="N78" s="331"/>
    </row>
    <row r="79" spans="2:30">
      <c r="B79" s="51" t="s">
        <v>81</v>
      </c>
      <c r="E79" s="338">
        <f>SUM(E77:E78)</f>
        <v>15416</v>
      </c>
      <c r="G79" s="358"/>
      <c r="H79" s="331" t="str">
        <f t="shared" si="17"/>
        <v xml:space="preserve"> </v>
      </c>
      <c r="I79" s="1"/>
      <c r="J79" s="1"/>
      <c r="K79" s="1"/>
      <c r="L79" s="1"/>
      <c r="M79" s="1"/>
      <c r="N79" s="331"/>
    </row>
    <row r="80" spans="2:30">
      <c r="B80" s="51" t="s">
        <v>83</v>
      </c>
      <c r="E80" s="321">
        <f>AW100</f>
        <v>4000</v>
      </c>
      <c r="G80" s="358"/>
      <c r="H80" s="331"/>
      <c r="I80" s="1"/>
      <c r="J80" s="1"/>
      <c r="K80" s="1"/>
      <c r="L80" s="1"/>
      <c r="M80" s="1"/>
      <c r="N80" s="331"/>
    </row>
    <row r="81" spans="1:53">
      <c r="B81" s="323" t="s">
        <v>84</v>
      </c>
      <c r="E81" s="338">
        <f>SUM(E79:E80)</f>
        <v>19416</v>
      </c>
      <c r="G81" s="358"/>
      <c r="H81" s="331"/>
      <c r="I81" s="1"/>
      <c r="J81" s="1"/>
      <c r="K81" s="1"/>
      <c r="L81" s="1"/>
      <c r="M81" s="1"/>
      <c r="N81" s="331"/>
    </row>
    <row r="82" spans="1:53">
      <c r="B82" s="60" t="s">
        <v>66</v>
      </c>
      <c r="C82" s="341"/>
      <c r="D82" s="359"/>
      <c r="E82" s="359" t="s">
        <v>66</v>
      </c>
      <c r="G82" s="358"/>
      <c r="H82" s="358"/>
      <c r="I82" s="1"/>
      <c r="J82" s="1"/>
      <c r="K82" s="1"/>
      <c r="L82" s="1"/>
      <c r="M82" s="1"/>
      <c r="N82" s="331"/>
    </row>
    <row r="83" spans="1:53" ht="14.1" customHeight="1">
      <c r="B83" s="60" t="str">
        <f>AJ94</f>
        <v xml:space="preserve">TOTAL AMPS ( 19,416 VA ÷ 240 V ) = </v>
      </c>
      <c r="C83" s="341"/>
      <c r="D83" s="359"/>
      <c r="E83" s="384">
        <f>AK92</f>
        <v>81</v>
      </c>
      <c r="G83" s="358"/>
      <c r="H83" s="358"/>
      <c r="I83" s="1"/>
      <c r="J83" s="1"/>
      <c r="K83" s="1"/>
      <c r="L83" s="1"/>
      <c r="M83" s="1"/>
      <c r="N83" s="331"/>
      <c r="AH83" s="51" t="s">
        <v>82</v>
      </c>
    </row>
    <row r="84" spans="1:53" ht="14.1" customHeight="1">
      <c r="B84" s="47" t="str">
        <f>AJ114</f>
        <v>FUTURE AMPS ( 0% )</v>
      </c>
      <c r="C84" s="334"/>
      <c r="D84" s="361"/>
      <c r="E84" s="384">
        <f>ROUND(E83*Input!E21/100,0)</f>
        <v>0</v>
      </c>
      <c r="G84" s="358"/>
      <c r="H84" s="355" t="s">
        <v>570</v>
      </c>
      <c r="I84" s="1"/>
      <c r="J84" s="1"/>
      <c r="K84" s="1"/>
      <c r="L84" s="1"/>
      <c r="M84" s="1"/>
      <c r="N84" s="331"/>
      <c r="AB84" s="47" t="s">
        <v>501</v>
      </c>
      <c r="AF84" s="51" t="s">
        <v>488</v>
      </c>
      <c r="AG84" s="51">
        <f>Input!J51*1000</f>
        <v>4000</v>
      </c>
      <c r="AH84" s="334" t="str">
        <f t="shared" ref="AH84:AH89" si="18">TEXT(AG84,"#,##0")</f>
        <v>4,000</v>
      </c>
      <c r="AI84" s="51" t="s">
        <v>499</v>
      </c>
      <c r="AJ84" s="51" t="str">
        <f>CONCATENATE(AB84,AH84,AI84,AH84,AF84)</f>
        <v>(1) AC LOAD ( 4,000 VA X 100% ) = 4,000 VA</v>
      </c>
      <c r="AK84" s="51">
        <f>AG84</f>
        <v>4000</v>
      </c>
    </row>
    <row r="85" spans="1:53" ht="14.1" customHeight="1">
      <c r="B85" s="323" t="s">
        <v>112</v>
      </c>
      <c r="E85" s="349">
        <f>ROUND(SUM(E83:E84),0)</f>
        <v>81</v>
      </c>
      <c r="G85" s="381"/>
      <c r="H85" s="355" t="s">
        <v>569</v>
      </c>
      <c r="I85" s="1"/>
      <c r="J85" s="1"/>
      <c r="K85" s="1"/>
      <c r="L85" s="1"/>
      <c r="M85" s="1"/>
      <c r="N85" s="331"/>
      <c r="AB85" s="60" t="str">
        <f>IF(S1&lt;&gt;2002,"(2) HEAT PUMPS NO SUPP ( ","(2) HEAT PUMPS AND SUPP ( ")</f>
        <v xml:space="preserve">(2) HEAT PUMPS NO SUPP ( </v>
      </c>
      <c r="AF85" s="51" t="s">
        <v>488</v>
      </c>
      <c r="AG85" s="51">
        <f>Input!J54*1000</f>
        <v>0</v>
      </c>
      <c r="AH85" s="334" t="str">
        <f t="shared" si="18"/>
        <v>0</v>
      </c>
      <c r="AI85" s="51" t="s">
        <v>499</v>
      </c>
      <c r="AJ85" s="51" t="str">
        <f>CONCATENATE(AB85,AH85,AI85,AH85,AF85)</f>
        <v>(2) HEAT PUMPS NO SUPP ( 0 VA X 100% ) = 0 VA</v>
      </c>
      <c r="AK85" s="51">
        <f>AG85</f>
        <v>0</v>
      </c>
    </row>
    <row r="86" spans="1:53" ht="14.1" customHeight="1">
      <c r="B86" s="47"/>
      <c r="C86" s="334"/>
      <c r="D86" s="361"/>
      <c r="G86" s="358"/>
      <c r="H86" s="331"/>
      <c r="I86" s="1"/>
      <c r="J86" s="1"/>
      <c r="K86" s="1"/>
      <c r="L86" s="1"/>
      <c r="M86" s="1"/>
      <c r="N86" s="331"/>
      <c r="AB86" s="47" t="str">
        <f>IF(S1=2008,"(3) HEAT PUMPS ( ","(3) ELECTRIC THERMAL ( ")</f>
        <v xml:space="preserve">(3) HEAT PUMPS ( </v>
      </c>
      <c r="AF86" s="51" t="s">
        <v>488</v>
      </c>
      <c r="AG86" s="51">
        <f>Input!J58*1000</f>
        <v>0</v>
      </c>
      <c r="AH86" s="334" t="str">
        <f t="shared" si="18"/>
        <v>0</v>
      </c>
      <c r="AI86" s="51" t="s">
        <v>499</v>
      </c>
      <c r="AJ86" s="51" t="str">
        <f>CONCATENATE(AB86,AH86,AI86,AH86,AF86)</f>
        <v>(3) HEAT PUMPS ( 0 VA X 100% ) = 0 VA</v>
      </c>
      <c r="AK86" s="51">
        <f>AG86</f>
        <v>0</v>
      </c>
      <c r="AN86" s="364" t="str">
        <f>IF(S1=2008,"      SUPPLEMENTAL HEAT ( ","(3) ELECTRIC THERMAL ( ")</f>
        <v xml:space="preserve">      SUPPLEMENTAL HEAT ( </v>
      </c>
      <c r="AP86" s="322">
        <f>Input!J61*1000</f>
        <v>0</v>
      </c>
      <c r="AQ86" s="334" t="str">
        <f>TEXT(AP86,"#,##0")</f>
        <v>0</v>
      </c>
      <c r="AR86" s="51" t="s">
        <v>500</v>
      </c>
      <c r="AS86" s="51" t="str">
        <f>CONCATENATE(AN86,AQ86,AR86)</f>
        <v xml:space="preserve">      SUPPLEMENTAL HEAT ( 0 VA X 65% ) = </v>
      </c>
      <c r="AW86" s="51">
        <f>ROUND(AP86*0.65,0)</f>
        <v>0</v>
      </c>
      <c r="AX86" s="334" t="str">
        <f>TEXT(AW86,"#,##0")</f>
        <v>0</v>
      </c>
      <c r="AY86" s="51" t="s">
        <v>488</v>
      </c>
      <c r="BA86" s="51" t="str">
        <f>CONCATENATE(AN86,AQ86,AR86,AX86,AY86)</f>
        <v xml:space="preserve">      SUPPLEMENTAL HEAT ( 0 VA X 65% ) = 0 VA</v>
      </c>
    </row>
    <row r="87" spans="1:53" ht="14.1" customHeight="1">
      <c r="B87" s="47"/>
      <c r="C87" s="334"/>
      <c r="D87" s="361"/>
      <c r="G87" s="358"/>
      <c r="H87" s="331"/>
      <c r="I87" s="331"/>
      <c r="J87" s="331"/>
      <c r="K87" s="331"/>
      <c r="L87" s="331"/>
      <c r="M87" s="331"/>
      <c r="N87" s="331"/>
      <c r="AB87" s="60" t="str">
        <f>IF(S1=2002,"(4) CENTRAL ELECTRIC ( ",IF(S1=2005,"(4) HEAT PUMPS ( ","(4) ELECTRIC SPACE ( "))</f>
        <v xml:space="preserve">(4) ELECTRIC SPACE ( </v>
      </c>
      <c r="AF87" s="51" t="s">
        <v>488</v>
      </c>
      <c r="AG87" s="51">
        <f>Input!J64*1000</f>
        <v>0</v>
      </c>
      <c r="AH87" s="334" t="str">
        <f t="shared" si="18"/>
        <v>0</v>
      </c>
      <c r="AI87" s="51" t="str">
        <f>IF(S1&lt;&gt;2005," VA X 65% ) = "," VA X 100% ) = ")</f>
        <v xml:space="preserve"> VA X 65% ) = </v>
      </c>
      <c r="AJ87" s="51" t="str">
        <f>CONCATENATE(AB87,AH87,AI87,AH87,AF87)</f>
        <v>(4) ELECTRIC SPACE ( 0 VA X 65% ) = 0 VA</v>
      </c>
      <c r="AK87" s="51">
        <f>IF(S1&lt;&gt;2005,ROUND((AG87*0.65),0),AG87)</f>
        <v>0</v>
      </c>
      <c r="AL87" s="334" t="str">
        <f>TEXT(AK87,"#,##0")</f>
        <v>0</v>
      </c>
      <c r="AN87" s="360" t="str">
        <f>CONCATENATE(AB87,AH87,AI87,AL87,AF87)</f>
        <v>(4) ELECTRIC SPACE ( 0 VA X 65% ) = 0 VA</v>
      </c>
    </row>
    <row r="88" spans="1:53" ht="14.1" customHeight="1">
      <c r="B88" s="47"/>
      <c r="C88" s="334"/>
      <c r="D88" s="361"/>
      <c r="G88" s="358"/>
      <c r="H88" s="331"/>
      <c r="I88" s="331"/>
      <c r="J88" s="331"/>
      <c r="K88" s="331"/>
      <c r="L88" s="331"/>
      <c r="M88" s="331"/>
      <c r="N88" s="331"/>
      <c r="AB88" s="47" t="s">
        <v>502</v>
      </c>
      <c r="AF88" s="51" t="s">
        <v>488</v>
      </c>
      <c r="AG88" s="51">
        <f>Input!J71*1000</f>
        <v>0</v>
      </c>
      <c r="AH88" s="334" t="str">
        <f t="shared" si="18"/>
        <v>0</v>
      </c>
      <c r="AI88" s="51" t="str">
        <f>IF(S1&lt;&gt;2008," VA X 65% ) = "," VA X 40% ) = ")</f>
        <v xml:space="preserve"> VA X 40% ) = </v>
      </c>
      <c r="AJ88" s="51" t="str">
        <f>CONCATENATE(AB88,AH88,AI88,AL88,AF88)</f>
        <v>(5) SPACE HEATING ( 0 VA X 40% ) = 0 VA</v>
      </c>
      <c r="AK88" s="51">
        <f>IF(S1&lt;&gt;2008,(AG88*0.65),(AG88*0.4))</f>
        <v>0</v>
      </c>
      <c r="AL88" s="334" t="str">
        <f>TEXT(AK88,"#,##0")</f>
        <v>0</v>
      </c>
      <c r="AN88" s="364"/>
    </row>
    <row r="89" spans="1:53" ht="14.1" customHeight="1">
      <c r="B89" s="47"/>
      <c r="C89" s="334"/>
      <c r="D89" s="361"/>
      <c r="G89" s="358"/>
      <c r="H89" s="331"/>
      <c r="I89" s="331"/>
      <c r="J89" s="331"/>
      <c r="K89" s="331"/>
      <c r="L89" s="331"/>
      <c r="M89" s="331"/>
      <c r="N89" s="331"/>
      <c r="AB89" s="47" t="s">
        <v>503</v>
      </c>
      <c r="AF89" s="51" t="s">
        <v>488</v>
      </c>
      <c r="AG89" s="51">
        <f>Input!J75*1000</f>
        <v>0</v>
      </c>
      <c r="AH89" s="334" t="str">
        <f t="shared" si="18"/>
        <v>0</v>
      </c>
      <c r="AI89" s="51" t="str">
        <f>IF(S1=2008," VA X 100% ) = "," VA X 40% ) = ")</f>
        <v xml:space="preserve"> VA X 100% ) = </v>
      </c>
      <c r="AJ89" s="51" t="str">
        <f>CONCATENATE(AB89,AH89,AI89,AL89,AF89)</f>
        <v>(6) SPACE HEATING (0 VA X 100% ) = 0 VA</v>
      </c>
      <c r="AK89" s="51">
        <f>IF(S1=2008,AG89,(AG89*0.4))</f>
        <v>0</v>
      </c>
      <c r="AL89" s="334" t="str">
        <f>TEXT(AK89,"#,##0")</f>
        <v>0</v>
      </c>
      <c r="AN89" s="360" t="s">
        <v>549</v>
      </c>
      <c r="AP89" s="322">
        <f>Input!J67*1000</f>
        <v>0</v>
      </c>
      <c r="AQ89" s="334" t="str">
        <f>TEXT(AP89,"#,##0")</f>
        <v>0</v>
      </c>
      <c r="AR89" s="51" t="s">
        <v>500</v>
      </c>
      <c r="AS89" s="51" t="str">
        <f>CONCATENATE(AN89,AQ89,AR89)</f>
        <v xml:space="preserve">      SUPPLEMENTAL HEAT ( 0 VA X 65% ) = </v>
      </c>
      <c r="AW89" s="51">
        <f>ROUND(AP89*0.65,0)</f>
        <v>0</v>
      </c>
      <c r="AX89" s="334" t="str">
        <f>TEXT(AW89,"#,##0")</f>
        <v>0</v>
      </c>
      <c r="AY89" s="51" t="s">
        <v>488</v>
      </c>
      <c r="BA89" s="51" t="str">
        <f>CONCATENATE(AN89,AQ89,AR89,AX89,AY89)</f>
        <v xml:space="preserve">      SUPPLEMENTAL HEAT ( 0 VA X 65% ) = 0 VA</v>
      </c>
    </row>
    <row r="90" spans="1:53" ht="14.1" customHeight="1">
      <c r="A90" s="331"/>
      <c r="B90" s="382"/>
      <c r="C90" s="358"/>
      <c r="D90" s="381"/>
      <c r="E90" s="331"/>
      <c r="F90" s="331"/>
      <c r="G90" s="331"/>
      <c r="H90" s="331"/>
      <c r="I90" s="331"/>
      <c r="J90" s="331"/>
      <c r="K90" s="331"/>
      <c r="L90" s="331"/>
      <c r="M90" s="331"/>
      <c r="N90" s="331"/>
      <c r="AK90" s="51">
        <f>MAX(AK84:AK89)</f>
        <v>4000</v>
      </c>
    </row>
    <row r="91" spans="1:53" ht="14.1" customHeight="1">
      <c r="A91" s="331"/>
      <c r="B91" s="382"/>
      <c r="C91" s="358"/>
      <c r="D91" s="381"/>
      <c r="E91" s="331"/>
      <c r="F91" s="331"/>
      <c r="G91" s="331"/>
      <c r="H91" s="331"/>
      <c r="I91" s="331"/>
      <c r="J91" s="331"/>
      <c r="K91" s="331"/>
      <c r="L91" s="331"/>
      <c r="M91" s="331"/>
      <c r="N91" s="331"/>
    </row>
    <row r="92" spans="1:53" ht="14.1" customHeight="1">
      <c r="A92" s="331"/>
      <c r="B92" s="331"/>
      <c r="C92" s="331"/>
      <c r="D92" s="331"/>
      <c r="E92" s="369"/>
      <c r="F92" s="331"/>
      <c r="AB92" s="321">
        <f>E81</f>
        <v>19416</v>
      </c>
      <c r="AG92" s="334" t="str">
        <f>TEXT(AB92,"#,##0")</f>
        <v>19,416</v>
      </c>
      <c r="AH92" s="51" t="str">
        <f>IF(Input!J9=1," VA ÷ "," VA ÷ 1.732 ÷ ")</f>
        <v xml:space="preserve"> VA ÷ </v>
      </c>
      <c r="AI92" s="365">
        <f>Input!Q4</f>
        <v>240</v>
      </c>
      <c r="AJ92" s="51" t="s">
        <v>415</v>
      </c>
      <c r="AK92" s="49">
        <f>IF(Input!J9=1,ROUND((AB92/AI92),0),ROUND((AB92/1.732/AI92),0))</f>
        <v>81</v>
      </c>
      <c r="AN92" s="322" t="s">
        <v>16</v>
      </c>
    </row>
    <row r="93" spans="1:53" ht="14.1" customHeight="1">
      <c r="A93" s="331"/>
      <c r="B93" s="356"/>
      <c r="C93" s="331"/>
      <c r="D93" s="331"/>
      <c r="E93" s="369"/>
      <c r="F93" s="331"/>
      <c r="AQ93" s="51">
        <v>1</v>
      </c>
      <c r="AR93" s="334">
        <f t="shared" ref="AR93:AR98" si="19">AK84</f>
        <v>4000</v>
      </c>
      <c r="AS93" s="334"/>
      <c r="AT93" s="51">
        <f t="shared" ref="AT93:AT98" si="20">SUM(AR93:AS93)</f>
        <v>4000</v>
      </c>
      <c r="AU93" s="51">
        <f t="shared" ref="AU93:AU98" si="21">AT93</f>
        <v>4000</v>
      </c>
      <c r="AV93" s="51">
        <f>IF(AU93=MAX(AU$93:AU$98),1,0)</f>
        <v>1</v>
      </c>
      <c r="AW93" s="51">
        <f t="shared" ref="AW93:AW98" si="22">IF(AV93&gt;0,AU93,0)</f>
        <v>4000</v>
      </c>
    </row>
    <row r="94" spans="1:53" ht="14.1" customHeight="1">
      <c r="A94" s="331"/>
      <c r="B94" s="331"/>
      <c r="C94" s="331"/>
      <c r="D94" s="331"/>
      <c r="E94" s="331"/>
      <c r="F94" s="331"/>
      <c r="AG94" s="51" t="s">
        <v>504</v>
      </c>
      <c r="AJ94" s="51" t="str">
        <f>CONCATENATE(AG94,AG92,AH92,AI92,AJ92)</f>
        <v xml:space="preserve">TOTAL AMPS ( 19,416 VA ÷ 240 V ) = </v>
      </c>
      <c r="AQ94" s="51">
        <v>2</v>
      </c>
      <c r="AR94" s="334">
        <f t="shared" si="19"/>
        <v>0</v>
      </c>
      <c r="AS94" s="334"/>
      <c r="AT94" s="51">
        <f t="shared" si="20"/>
        <v>0</v>
      </c>
      <c r="AU94" s="51">
        <f t="shared" si="21"/>
        <v>0</v>
      </c>
      <c r="AV94" s="51">
        <f>IF(AV93&gt;0,0,IF(AU94=MAX(AU$93:AU$98),1,0))</f>
        <v>0</v>
      </c>
      <c r="AW94" s="51">
        <f t="shared" si="22"/>
        <v>0</v>
      </c>
    </row>
    <row r="95" spans="1:53" ht="14.1" customHeight="1">
      <c r="A95" s="331"/>
      <c r="B95" s="331"/>
      <c r="C95" s="331"/>
      <c r="D95" s="358"/>
      <c r="E95" s="363"/>
      <c r="F95" s="331"/>
      <c r="AB95" s="51" t="s">
        <v>25</v>
      </c>
      <c r="AQ95" s="51">
        <v>3</v>
      </c>
      <c r="AR95" s="334">
        <f t="shared" si="19"/>
        <v>0</v>
      </c>
      <c r="AS95" s="334">
        <f>IF(S1&lt;&gt;2008,0,AW86)</f>
        <v>0</v>
      </c>
      <c r="AT95" s="51">
        <f t="shared" si="20"/>
        <v>0</v>
      </c>
      <c r="AU95" s="51">
        <f t="shared" si="21"/>
        <v>0</v>
      </c>
      <c r="AV95" s="51">
        <f>IF(SUM(AV93:AV94)&gt;0,0,IF(AU95=MAX(AU$93:AU$98),1,0))</f>
        <v>0</v>
      </c>
      <c r="AW95" s="51">
        <f t="shared" si="22"/>
        <v>0</v>
      </c>
    </row>
    <row r="96" spans="1:53" ht="14.1" customHeight="1">
      <c r="A96" s="331"/>
      <c r="B96" s="331"/>
      <c r="C96" s="331"/>
      <c r="D96" s="358"/>
      <c r="E96" s="363"/>
      <c r="F96" s="331"/>
      <c r="AA96" s="51" t="s">
        <v>506</v>
      </c>
      <c r="AB96" s="51">
        <f>IF(OR(M22=3000,M22&gt;3000),3000,M22)</f>
        <v>3000</v>
      </c>
      <c r="AD96" s="51" t="str">
        <f>TEXT(AB96,"#,##0")</f>
        <v>3,000</v>
      </c>
      <c r="AE96" s="51" t="s">
        <v>507</v>
      </c>
      <c r="AJ96" s="51" t="str">
        <f>CONCATENATE(AA96,AD96,AE96)</f>
        <v xml:space="preserve">FIRST 3,000 VA @ 100% ( 3,000 VA X 1.00 ) = </v>
      </c>
      <c r="AQ96" s="51">
        <v>4</v>
      </c>
      <c r="AR96" s="334">
        <f t="shared" si="19"/>
        <v>0</v>
      </c>
      <c r="AS96" s="334">
        <f>IF(S1=2002,0,IF(S1=2008,0,AW89))</f>
        <v>0</v>
      </c>
      <c r="AT96" s="51">
        <f t="shared" si="20"/>
        <v>0</v>
      </c>
      <c r="AU96" s="51">
        <f t="shared" si="21"/>
        <v>0</v>
      </c>
      <c r="AV96" s="51">
        <f>IF(SUM(AV93:AV95)&gt;0,0,IF(AU96=MAX(AU$93:AU$98),1,0))</f>
        <v>0</v>
      </c>
      <c r="AW96" s="51">
        <f t="shared" si="22"/>
        <v>0</v>
      </c>
    </row>
    <row r="97" spans="1:49" ht="14.1" customHeight="1">
      <c r="A97" s="331"/>
      <c r="B97" s="356"/>
      <c r="C97" s="331"/>
      <c r="D97" s="331"/>
      <c r="E97" s="363"/>
      <c r="F97" s="331"/>
      <c r="AQ97" s="51">
        <v>5</v>
      </c>
      <c r="AR97" s="334">
        <f t="shared" si="19"/>
        <v>0</v>
      </c>
      <c r="AS97" s="334"/>
      <c r="AT97" s="51">
        <f t="shared" si="20"/>
        <v>0</v>
      </c>
      <c r="AU97" s="51">
        <f t="shared" si="21"/>
        <v>0</v>
      </c>
      <c r="AV97" s="51">
        <f>IF(SUM(AV93:AV96)&gt;0,0,IF(AU97=MAX(AU$93:AU$98),1,0))</f>
        <v>0</v>
      </c>
      <c r="AW97" s="51">
        <f t="shared" si="22"/>
        <v>0</v>
      </c>
    </row>
    <row r="98" spans="1:49" ht="14.1" customHeight="1">
      <c r="B98" s="323"/>
      <c r="E98" s="363"/>
      <c r="AA98" s="51" t="s">
        <v>508</v>
      </c>
      <c r="AB98" s="50">
        <f>M22</f>
        <v>3300</v>
      </c>
      <c r="AD98" s="51">
        <v>3000</v>
      </c>
      <c r="AE98" s="51">
        <f>AB98-AD98</f>
        <v>300</v>
      </c>
      <c r="AF98" s="334" t="str">
        <f>TEXT(AE98,"#,##0")</f>
        <v>300</v>
      </c>
      <c r="AG98" s="51" t="s">
        <v>485</v>
      </c>
      <c r="AJ98" s="51" t="str">
        <f>CONCATENATE(AA98,AF98,AG98)</f>
        <v xml:space="preserve">3,000-120,000 VA @ 35% ( 300 VA X 0.35 ) = </v>
      </c>
      <c r="AK98" s="51">
        <f>AE98*0.35</f>
        <v>105</v>
      </c>
      <c r="AQ98" s="51">
        <v>6</v>
      </c>
      <c r="AR98" s="334">
        <f t="shared" si="19"/>
        <v>0</v>
      </c>
      <c r="AS98" s="334"/>
      <c r="AT98" s="51">
        <f t="shared" si="20"/>
        <v>0</v>
      </c>
      <c r="AU98" s="51">
        <f t="shared" si="21"/>
        <v>0</v>
      </c>
      <c r="AV98" s="51">
        <f>IF(SUM(AV93:AV97)&gt;0,0,IF(AU98=MAX(AU$93:AU$98),1,0))</f>
        <v>0</v>
      </c>
      <c r="AW98" s="51">
        <f t="shared" si="22"/>
        <v>0</v>
      </c>
    </row>
    <row r="99" spans="1:49" ht="14.1" customHeight="1">
      <c r="B99" s="323"/>
    </row>
    <row r="100" spans="1:49" ht="14.1" customHeight="1">
      <c r="AA100" s="51" t="s">
        <v>509</v>
      </c>
      <c r="AB100" s="51">
        <f>IF(AB98-120000&lt;0,0,(AB98-120000))</f>
        <v>0</v>
      </c>
      <c r="AE100" s="51" t="str">
        <f>TEXT(AB100,"#,##0")</f>
        <v>0</v>
      </c>
      <c r="AG100" s="51" t="s">
        <v>486</v>
      </c>
      <c r="AJ100" s="51" t="str">
        <f>CONCATENATE(AA100,AE100,AG100)</f>
        <v xml:space="preserve">OVER 120,000 VA @ 25% ( 0 VA X 0.25 ) = </v>
      </c>
      <c r="AK100" s="51">
        <f>IF(AB100=0,0,AB100*0.25)</f>
        <v>0</v>
      </c>
      <c r="AW100" s="51">
        <f>MAX(AW93:AW98)</f>
        <v>4000</v>
      </c>
    </row>
    <row r="101" spans="1:49" ht="14.1" customHeight="1">
      <c r="AB101" s="51" t="s">
        <v>55</v>
      </c>
    </row>
    <row r="102" spans="1:49" ht="14.1" customHeight="1">
      <c r="Y102" s="51" t="str">
        <f>IF(Input!J9=1,"70% OF TABLE ","100% OF TABLE ")</f>
        <v xml:space="preserve">70% OF TABLE </v>
      </c>
      <c r="AA102" s="51" t="str">
        <f>IF(AND(S1&lt;&gt;2002,Input!J9=1),"70% OF TABLE 220.55 ( ",IF(AND(S1=2002,Input!J9=1),"70% OF TABLE 220.19 ( ",IF(AND(S1&lt;&gt;2002,Input!J9&lt;&gt;1),"100% OF TABLE 220.55 ( ","100% OF TABLE 220.19 ( ")))</f>
        <v xml:space="preserve">70% OF TABLE 220.55 ( </v>
      </c>
      <c r="AB102" s="51">
        <f>Tables!C14*1000</f>
        <v>0</v>
      </c>
      <c r="AE102" s="51" t="str">
        <f>TEXT(AB102,"#,##0")</f>
        <v>0</v>
      </c>
      <c r="AG102" s="51" t="str">
        <f>IF(Input!J9=1," VA X 0.70 ) = "," VA X 1.00 ) = ")</f>
        <v xml:space="preserve"> VA X 0.70 ) = </v>
      </c>
      <c r="AJ102" s="51" t="str">
        <f>CONCATENATE(AA102,AE102,AG102)</f>
        <v xml:space="preserve">70% OF TABLE 220.55 ( 0 VA X 0.70 ) = </v>
      </c>
      <c r="AK102" s="51">
        <f>IF(Input!J9=1,AB102*0.7,AB102)</f>
        <v>0</v>
      </c>
    </row>
    <row r="103" spans="1:49" ht="14.1" customHeight="1">
      <c r="Y103" s="51" t="str">
        <f>IF(Input!J9=1,"70% OF TABLE ","100% OF TABLE ")</f>
        <v xml:space="preserve">70% OF TABLE </v>
      </c>
      <c r="AB103" s="51" t="s">
        <v>86</v>
      </c>
      <c r="AF103" s="51">
        <f>Tables!C54/100</f>
        <v>1</v>
      </c>
    </row>
    <row r="104" spans="1:49" ht="14.1" customHeight="1">
      <c r="AA104" s="51" t="str">
        <f>IF(AND(S1&lt;&gt;2002,Input!J9=1),"70% OF TABLE 220.54 ( ",IF(AND(S1=2002,Input!J9=1),"70% OF TABLE 220.18 ( ",IF(AND(S1&lt;&gt;2002,Input!J9&lt;&gt;1),"100% OF TABLE 220.54 ( ","100% OF TABLE 220.18 ( ")))</f>
        <v xml:space="preserve">70% OF TABLE 220.54 ( </v>
      </c>
      <c r="AB104" s="321">
        <f>Input!E32*Input!F32*1000</f>
        <v>5000</v>
      </c>
      <c r="AE104" s="51" t="str">
        <f>TEXT(AB104,"#,##0")</f>
        <v>5,000</v>
      </c>
      <c r="AF104" s="334" t="str">
        <f>TEXT(AF103,"0.00")</f>
        <v>1.00</v>
      </c>
      <c r="AG104" s="51" t="str">
        <f>IF(Input!J9=1," VA X 0.70 ) = "," VA X 1.00 ) = ")</f>
        <v xml:space="preserve"> VA X 0.70 ) = </v>
      </c>
      <c r="AH104" s="51" t="s">
        <v>510</v>
      </c>
      <c r="AJ104" s="366" t="str">
        <f>CONCATENATE(AA104,AE104,AH104,AF104,AG104)</f>
        <v xml:space="preserve">70% OF TABLE 220.54 ( 5,000 VA 1.00 VA X 0.70 ) = </v>
      </c>
      <c r="AK104" s="51">
        <f>IF(Input!J9=1,AB104*0.7*AF103,AB104*AF103)</f>
        <v>3500</v>
      </c>
      <c r="AL104" s="322">
        <f>AK104*AF104</f>
        <v>3500</v>
      </c>
      <c r="AM104" s="322">
        <f>AL104*0.7</f>
        <v>2450</v>
      </c>
    </row>
    <row r="105" spans="1:49" ht="14.1" customHeight="1">
      <c r="AB105" s="51" t="s">
        <v>87</v>
      </c>
    </row>
    <row r="106" spans="1:49" ht="14.1" customHeight="1">
      <c r="AB106" s="50">
        <f>Tables!H165</f>
        <v>2280</v>
      </c>
      <c r="AE106" s="51" t="str">
        <f>TEXT(AB106,"#,##0")</f>
        <v>2,280</v>
      </c>
      <c r="AG106" s="51" t="s">
        <v>85</v>
      </c>
      <c r="AJ106" s="51" t="str">
        <f>CONCATENATE(AE106,AG106)</f>
        <v xml:space="preserve">2,280 VA X 1.00 = </v>
      </c>
      <c r="AK106" s="335">
        <f>AB106</f>
        <v>2280</v>
      </c>
    </row>
    <row r="107" spans="1:49" ht="14.1" customHeight="1"/>
    <row r="108" spans="1:49" ht="14.1" customHeight="1">
      <c r="AB108" s="51" t="s">
        <v>88</v>
      </c>
    </row>
    <row r="109" spans="1:49" ht="14.1" customHeight="1">
      <c r="AA109" s="51" t="s">
        <v>511</v>
      </c>
      <c r="AB109" s="50">
        <f>M39</f>
        <v>8885</v>
      </c>
      <c r="AE109" s="51" t="str">
        <f>TEXT(AB109,"#,##0")</f>
        <v>8,885</v>
      </c>
      <c r="AG109" s="51" t="str">
        <f>IF(Input!J9=1," VA ÷ "," VA ÷ 1.732 ÷ ")</f>
        <v xml:space="preserve"> VA ÷ </v>
      </c>
      <c r="AH109" s="49">
        <f>Input!Q4</f>
        <v>240</v>
      </c>
      <c r="AI109" s="49" t="s">
        <v>415</v>
      </c>
      <c r="AJ109" s="51" t="str">
        <f>CONCATENATE(AA109,AE109,AG109,AH109,AI109)</f>
        <v xml:space="preserve">NEUTRAL LOAD ( 8,885 VA ÷ 240 V ) = </v>
      </c>
      <c r="AL109" s="322">
        <f>IF(Input!J9=1,ROUND((AE109/AH109),0),ROUND((AE109/1.732/AH109),0))</f>
        <v>37</v>
      </c>
    </row>
    <row r="110" spans="1:49" ht="14.1" customHeight="1">
      <c r="P110" s="51" t="s">
        <v>523</v>
      </c>
      <c r="R110" s="51">
        <v>1</v>
      </c>
    </row>
    <row r="111" spans="1:49" ht="14.1" customHeight="1">
      <c r="Q111" s="51" t="s">
        <v>249</v>
      </c>
      <c r="R111" s="51">
        <f>IF(Input!J3="YES",2,"")</f>
        <v>2</v>
      </c>
    </row>
    <row r="112" spans="1:49" ht="14.1" customHeight="1">
      <c r="Q112" s="51" t="s">
        <v>524</v>
      </c>
      <c r="R112" s="51">
        <f>IF(Input!J6="YES",3,"")</f>
        <v>3</v>
      </c>
      <c r="AB112" s="51" t="s">
        <v>505</v>
      </c>
    </row>
    <row r="113" spans="18:36" ht="14.1" customHeight="1">
      <c r="R113" s="51">
        <f>IF(AND(R111=2,R112=3),4,"")</f>
        <v>4</v>
      </c>
      <c r="AB113" s="49">
        <f>AK92</f>
        <v>81</v>
      </c>
      <c r="AE113" s="51" t="str">
        <f>TEXT(AB113,"#,##0")</f>
        <v>81</v>
      </c>
      <c r="AG113" s="51" t="s">
        <v>290</v>
      </c>
      <c r="AH113" s="51">
        <f>Input!E21/100</f>
        <v>0</v>
      </c>
      <c r="AI113" s="51" t="s">
        <v>19</v>
      </c>
      <c r="AJ113" s="51" t="str">
        <f>CONCATENATE(AE113,AG113,AH113,AI113)</f>
        <v xml:space="preserve">81 A X 0 = </v>
      </c>
    </row>
    <row r="114" spans="18:36" ht="14.1" customHeight="1">
      <c r="AE114" s="51" t="s">
        <v>289</v>
      </c>
      <c r="AG114" s="51" t="s">
        <v>291</v>
      </c>
      <c r="AH114" s="51">
        <f>Input!E21</f>
        <v>0</v>
      </c>
      <c r="AI114" s="51" t="s">
        <v>292</v>
      </c>
      <c r="AJ114" s="51" t="str">
        <f>CONCATENATE(AE114,AG114,AH114,AI114)</f>
        <v>FUTURE AMPS ( 0% )</v>
      </c>
    </row>
    <row r="115" spans="18:36" ht="14.1" customHeight="1"/>
    <row r="116" spans="18:36" ht="14.1" customHeight="1"/>
    <row r="117" spans="18:36" ht="14.1" customHeight="1">
      <c r="R117" s="51">
        <f>MAX(R110:R113)</f>
        <v>4</v>
      </c>
      <c r="T117" s="51">
        <v>1</v>
      </c>
      <c r="V117" s="51">
        <v>2</v>
      </c>
      <c r="X117" s="51">
        <v>3</v>
      </c>
      <c r="Z117" s="51">
        <v>4</v>
      </c>
    </row>
    <row r="118" spans="18:36" ht="14.1" customHeight="1"/>
    <row r="119" spans="18:36" ht="14.1" customHeight="1">
      <c r="R119" s="51" t="str">
        <f t="shared" ref="R119:R136" si="23">IF(R$117=1,T119,IF(R$117=2,V119,IF(R$117=3,X119,IF(R$117=4,Z119,99))))</f>
        <v>A - Amps</v>
      </c>
      <c r="T119" s="51" t="s">
        <v>456</v>
      </c>
      <c r="V119" s="51" t="s">
        <v>456</v>
      </c>
      <c r="X119" s="51" t="s">
        <v>456</v>
      </c>
      <c r="Z119" s="51" t="s">
        <v>456</v>
      </c>
    </row>
    <row r="120" spans="18:36" ht="14.1" customHeight="1">
      <c r="R120" s="51" t="str">
        <f t="shared" si="23"/>
        <v>AFC - Available Fault Current</v>
      </c>
      <c r="T120" s="51" t="s">
        <v>468</v>
      </c>
      <c r="V120" s="51" t="s">
        <v>462</v>
      </c>
      <c r="X120" s="51" t="s">
        <v>457</v>
      </c>
      <c r="Z120" s="51" t="s">
        <v>457</v>
      </c>
    </row>
    <row r="121" spans="18:36" ht="14.1" customHeight="1">
      <c r="R121" s="51" t="str">
        <f t="shared" si="23"/>
        <v>C - Conductor Constance</v>
      </c>
      <c r="T121" s="51" t="s">
        <v>467</v>
      </c>
      <c r="V121" s="51" t="s">
        <v>465</v>
      </c>
      <c r="X121" s="51" t="s">
        <v>458</v>
      </c>
      <c r="Z121" s="51" t="s">
        <v>458</v>
      </c>
    </row>
    <row r="122" spans="18:36" ht="14.1" customHeight="1">
      <c r="R122" s="51" t="str">
        <f t="shared" si="23"/>
        <v>CF - Conductor Factor</v>
      </c>
      <c r="T122" s="51" t="s">
        <v>66</v>
      </c>
      <c r="V122" s="51" t="s">
        <v>467</v>
      </c>
      <c r="X122" s="51" t="s">
        <v>459</v>
      </c>
      <c r="Z122" s="51" t="s">
        <v>459</v>
      </c>
    </row>
    <row r="123" spans="18:36" ht="14.1" customHeight="1">
      <c r="R123" s="51" t="str">
        <f t="shared" si="23"/>
        <v>CLC - Conductor Let Through Current</v>
      </c>
      <c r="T123" s="51" t="s">
        <v>66</v>
      </c>
      <c r="V123" s="51" t="s">
        <v>468</v>
      </c>
      <c r="X123" s="51" t="s">
        <v>460</v>
      </c>
      <c r="Z123" s="51" t="s">
        <v>460</v>
      </c>
    </row>
    <row r="124" spans="18:36" ht="14.1" customHeight="1">
      <c r="R124" s="51" t="str">
        <f t="shared" si="23"/>
        <v>CM - Conductor Multiplier</v>
      </c>
      <c r="T124" s="51" t="s">
        <v>66</v>
      </c>
      <c r="V124" s="51" t="s">
        <v>469</v>
      </c>
      <c r="X124" s="51" t="s">
        <v>461</v>
      </c>
      <c r="Z124" s="51" t="s">
        <v>461</v>
      </c>
    </row>
    <row r="125" spans="18:36" ht="14.1" customHeight="1">
      <c r="R125" s="51" t="str">
        <f t="shared" si="23"/>
        <v>L - Length</v>
      </c>
      <c r="T125" s="51" t="s">
        <v>66</v>
      </c>
      <c r="V125" s="51" t="s">
        <v>66</v>
      </c>
      <c r="X125" s="51" t="s">
        <v>462</v>
      </c>
      <c r="Z125" s="51" t="s">
        <v>462</v>
      </c>
    </row>
    <row r="126" spans="18:36" ht="14.1" customHeight="1">
      <c r="R126" s="51" t="str">
        <f t="shared" si="23"/>
        <v>MC - Motor Contribution</v>
      </c>
      <c r="T126" s="51" t="s">
        <v>66</v>
      </c>
      <c r="V126" s="51" t="s">
        <v>66</v>
      </c>
      <c r="X126" s="51" t="s">
        <v>463</v>
      </c>
      <c r="Z126" s="51" t="s">
        <v>463</v>
      </c>
    </row>
    <row r="127" spans="18:36" ht="14.1" customHeight="1">
      <c r="R127" s="51" t="str">
        <f t="shared" si="23"/>
        <v>N - Number of Conductors</v>
      </c>
      <c r="T127" s="51" t="s">
        <v>66</v>
      </c>
      <c r="V127" s="51" t="s">
        <v>66</v>
      </c>
      <c r="X127" s="51" t="s">
        <v>464</v>
      </c>
      <c r="Z127" s="51" t="s">
        <v>464</v>
      </c>
    </row>
    <row r="128" spans="18:36" ht="14.1" customHeight="1">
      <c r="R128" s="51" t="str">
        <f t="shared" si="23"/>
        <v>R - Resistance</v>
      </c>
      <c r="T128" s="51" t="s">
        <v>66</v>
      </c>
      <c r="V128" s="51" t="s">
        <v>66</v>
      </c>
      <c r="X128" s="51" t="s">
        <v>466</v>
      </c>
      <c r="Z128" s="51" t="s">
        <v>465</v>
      </c>
    </row>
    <row r="129" spans="18:27" ht="14.1" customHeight="1">
      <c r="R129" s="51" t="str">
        <f t="shared" si="23"/>
        <v>UA - Utility Adjustment</v>
      </c>
      <c r="T129" s="51" t="s">
        <v>66</v>
      </c>
      <c r="V129" s="51" t="s">
        <v>66</v>
      </c>
      <c r="X129" s="51" t="s">
        <v>467</v>
      </c>
      <c r="Z129" s="51" t="s">
        <v>466</v>
      </c>
    </row>
    <row r="130" spans="18:27" ht="14.1" customHeight="1">
      <c r="R130" s="51" t="str">
        <f t="shared" si="23"/>
        <v>V - Volts</v>
      </c>
      <c r="T130" s="51" t="s">
        <v>66</v>
      </c>
      <c r="V130" s="51" t="s">
        <v>66</v>
      </c>
      <c r="X130" s="51" t="s">
        <v>468</v>
      </c>
      <c r="Z130" s="51" t="s">
        <v>467</v>
      </c>
    </row>
    <row r="131" spans="18:27" ht="14.1" customHeight="1">
      <c r="R131" s="51" t="str">
        <f t="shared" si="23"/>
        <v>VA - Volt Amps</v>
      </c>
      <c r="T131" s="51" t="s">
        <v>66</v>
      </c>
      <c r="V131" s="51" t="s">
        <v>66</v>
      </c>
      <c r="X131" s="51" t="s">
        <v>66</v>
      </c>
      <c r="Z131" s="51" t="s">
        <v>468</v>
      </c>
    </row>
    <row r="132" spans="18:27" ht="14.1" customHeight="1">
      <c r="R132" s="51" t="str">
        <f t="shared" si="23"/>
        <v>VD - Voltage Drop</v>
      </c>
      <c r="T132" s="51" t="s">
        <v>66</v>
      </c>
      <c r="V132" s="51" t="s">
        <v>66</v>
      </c>
      <c r="X132" s="51" t="s">
        <v>66</v>
      </c>
      <c r="Z132" s="51" t="s">
        <v>469</v>
      </c>
    </row>
    <row r="133" spans="18:27" ht="14.1" customHeight="1">
      <c r="R133" s="51" t="str">
        <f t="shared" si="23"/>
        <v xml:space="preserve"> </v>
      </c>
      <c r="T133" s="51" t="s">
        <v>66</v>
      </c>
      <c r="V133" s="51" t="s">
        <v>66</v>
      </c>
      <c r="X133" s="51" t="s">
        <v>66</v>
      </c>
      <c r="Z133" s="51" t="s">
        <v>66</v>
      </c>
    </row>
    <row r="134" spans="18:27" ht="14.1" customHeight="1">
      <c r="R134" s="51" t="str">
        <f t="shared" si="23"/>
        <v xml:space="preserve"> </v>
      </c>
      <c r="T134" s="51" t="s">
        <v>66</v>
      </c>
      <c r="U134" s="51" t="s">
        <v>66</v>
      </c>
      <c r="V134" s="51" t="s">
        <v>66</v>
      </c>
      <c r="W134" s="51" t="s">
        <v>66</v>
      </c>
      <c r="X134" s="51" t="s">
        <v>66</v>
      </c>
      <c r="Y134" s="51" t="s">
        <v>66</v>
      </c>
      <c r="Z134" s="51" t="s">
        <v>66</v>
      </c>
      <c r="AA134" s="51" t="s">
        <v>66</v>
      </c>
    </row>
    <row r="135" spans="18:27" ht="14.1" customHeight="1">
      <c r="R135" s="51" t="str">
        <f t="shared" si="23"/>
        <v xml:space="preserve"> </v>
      </c>
      <c r="T135" s="51" t="s">
        <v>66</v>
      </c>
      <c r="U135" s="51" t="s">
        <v>66</v>
      </c>
      <c r="V135" s="51" t="s">
        <v>66</v>
      </c>
      <c r="W135" s="51" t="s">
        <v>66</v>
      </c>
      <c r="X135" s="51" t="s">
        <v>66</v>
      </c>
      <c r="Y135" s="51" t="s">
        <v>66</v>
      </c>
      <c r="Z135" s="51" t="s">
        <v>66</v>
      </c>
      <c r="AA135" s="51" t="s">
        <v>66</v>
      </c>
    </row>
    <row r="136" spans="18:27" ht="14.1" customHeight="1">
      <c r="R136" s="51" t="str">
        <f t="shared" si="23"/>
        <v xml:space="preserve"> </v>
      </c>
      <c r="T136" s="51" t="s">
        <v>66</v>
      </c>
      <c r="U136" s="51" t="s">
        <v>66</v>
      </c>
      <c r="V136" s="51" t="s">
        <v>66</v>
      </c>
      <c r="W136" s="51" t="s">
        <v>66</v>
      </c>
      <c r="X136" s="51" t="s">
        <v>66</v>
      </c>
      <c r="Y136" s="51" t="s">
        <v>66</v>
      </c>
      <c r="Z136" s="51" t="s">
        <v>66</v>
      </c>
      <c r="AA136" s="51" t="s">
        <v>66</v>
      </c>
    </row>
    <row r="137" spans="18:27" ht="14.1" customHeight="1"/>
    <row r="138" spans="18:27" ht="14.1" customHeight="1"/>
    <row r="139" spans="18:27" ht="14.1" customHeight="1"/>
    <row r="140" spans="18:27" ht="14.1" customHeight="1"/>
    <row r="141" spans="18:27" ht="14.1" customHeight="1"/>
    <row r="142" spans="18:27" ht="14.1" customHeight="1"/>
    <row r="143" spans="18:27" ht="14.1" customHeight="1"/>
    <row r="144" spans="18:27" ht="14.1" customHeight="1"/>
    <row r="145" ht="14.1" customHeight="1"/>
    <row r="146" ht="14.1" customHeight="1"/>
    <row r="147" ht="14.1" customHeight="1"/>
    <row r="148" ht="14.1" customHeight="1"/>
    <row r="149" ht="14.1" customHeight="1"/>
    <row r="150" ht="14.1" customHeight="1"/>
    <row r="151" ht="14.1" customHeight="1"/>
    <row r="152" ht="14.1" customHeight="1"/>
    <row r="153" ht="14.1" customHeight="1"/>
    <row r="154" ht="14.1" customHeight="1"/>
    <row r="155" ht="14.1" customHeight="1"/>
    <row r="156" ht="14.1" customHeight="1"/>
    <row r="157" ht="14.1" customHeight="1"/>
    <row r="158" ht="14.1" customHeight="1"/>
    <row r="159" ht="14.1" customHeight="1"/>
    <row r="160" ht="14.1" customHeight="1"/>
    <row r="161" ht="14.1" customHeight="1"/>
    <row r="162" ht="14.1" customHeight="1"/>
    <row r="163" ht="14.1" customHeight="1"/>
    <row r="164" ht="14.1" customHeight="1"/>
    <row r="165" ht="14.1" customHeight="1"/>
    <row r="166" ht="14.1" customHeight="1"/>
    <row r="167" ht="14.1" customHeight="1"/>
    <row r="168" ht="14.1" customHeight="1"/>
    <row r="169" ht="14.1" customHeight="1"/>
    <row r="170" ht="14.1" customHeight="1"/>
    <row r="171" ht="14.1" customHeight="1"/>
    <row r="172" ht="14.1" customHeight="1"/>
    <row r="173" ht="14.1" customHeight="1"/>
    <row r="174" ht="14.1" customHeight="1"/>
    <row r="175" ht="14.1" customHeight="1"/>
    <row r="176" ht="14.1" customHeight="1"/>
    <row r="177" ht="14.1" customHeight="1"/>
    <row r="178" ht="14.1" customHeight="1"/>
    <row r="179" ht="14.1" customHeight="1"/>
    <row r="180" ht="14.1" customHeight="1"/>
    <row r="181" ht="14.1" customHeight="1"/>
    <row r="182" ht="14.1" customHeight="1"/>
    <row r="183" ht="14.1" customHeight="1"/>
    <row r="184" ht="14.1" customHeight="1"/>
    <row r="185" ht="14.1" customHeight="1"/>
    <row r="186" ht="14.1" customHeight="1"/>
    <row r="187" ht="14.1" customHeight="1"/>
    <row r="188" ht="14.1" customHeight="1"/>
    <row r="189" ht="14.1" customHeight="1"/>
    <row r="190" ht="14.1" customHeight="1"/>
    <row r="191" ht="14.1" customHeight="1"/>
    <row r="192" ht="14.1" customHeight="1"/>
    <row r="193" ht="14.1" customHeight="1"/>
    <row r="194" ht="14.1" customHeight="1"/>
    <row r="195" ht="14.1" customHeight="1"/>
    <row r="196" ht="14.1" customHeight="1"/>
    <row r="197" ht="14.1" customHeight="1"/>
    <row r="198" ht="14.1" customHeight="1"/>
    <row r="199" ht="14.1" customHeight="1"/>
    <row r="200" ht="14.1" customHeight="1"/>
    <row r="201" ht="14.1" customHeight="1"/>
    <row r="202" ht="14.1" customHeight="1"/>
    <row r="203" ht="14.1" customHeight="1"/>
    <row r="204" ht="14.1" customHeight="1"/>
    <row r="205" ht="14.1" customHeight="1"/>
    <row r="206" ht="14.1" customHeight="1"/>
    <row r="207" ht="14.1" customHeight="1"/>
    <row r="208" ht="14.1" customHeight="1"/>
    <row r="209" ht="14.1" customHeight="1"/>
    <row r="210" ht="14.1" customHeight="1"/>
    <row r="211" ht="14.1" customHeight="1"/>
    <row r="212" ht="14.1" customHeight="1"/>
    <row r="213" ht="14.1" customHeight="1"/>
    <row r="214" ht="14.1" customHeight="1"/>
    <row r="215" ht="14.1" customHeight="1"/>
    <row r="216" ht="14.1" customHeight="1"/>
    <row r="217" ht="14.1" customHeight="1"/>
    <row r="218" ht="14.1" customHeight="1"/>
    <row r="219" ht="14.1" customHeight="1"/>
    <row r="220" ht="14.1" customHeight="1"/>
    <row r="221" ht="14.1" customHeight="1"/>
    <row r="222" ht="14.1" customHeight="1"/>
    <row r="223" ht="14.1" customHeight="1"/>
    <row r="224" ht="14.1" customHeight="1"/>
    <row r="225" ht="14.1" customHeight="1"/>
    <row r="226" ht="14.1" customHeight="1"/>
    <row r="227" ht="14.1" customHeight="1"/>
    <row r="228" ht="14.1" customHeight="1"/>
    <row r="229" ht="14.1" customHeight="1"/>
    <row r="230" ht="14.1" customHeight="1"/>
    <row r="231" ht="14.1" customHeight="1"/>
    <row r="232" ht="14.1" customHeight="1"/>
    <row r="233" ht="14.1" customHeight="1"/>
    <row r="234" ht="14.1" customHeight="1"/>
    <row r="235" ht="14.1" customHeight="1"/>
    <row r="236" ht="14.1" customHeight="1"/>
    <row r="237" ht="14.1" customHeight="1"/>
    <row r="238" ht="14.1" customHeight="1"/>
    <row r="239" ht="14.1" customHeight="1"/>
    <row r="240" ht="14.1" customHeight="1"/>
    <row r="241" ht="14.1" customHeight="1"/>
    <row r="242" ht="14.1" customHeight="1"/>
    <row r="243" ht="14.1" customHeight="1"/>
    <row r="244" ht="14.1" customHeight="1"/>
    <row r="245" ht="14.1" customHeight="1"/>
    <row r="246" ht="14.1" customHeight="1"/>
    <row r="247" ht="14.1" customHeight="1"/>
    <row r="248" ht="14.1" customHeight="1"/>
    <row r="249" ht="14.1" customHeight="1"/>
    <row r="250" ht="14.1" customHeight="1"/>
    <row r="251" ht="14.1" customHeight="1"/>
    <row r="252" ht="14.1" customHeight="1"/>
    <row r="253" ht="14.1" customHeight="1"/>
    <row r="254" ht="14.1" customHeight="1"/>
    <row r="255" ht="14.1" customHeight="1"/>
    <row r="256" ht="14.1" customHeight="1"/>
    <row r="257" ht="14.1" customHeight="1"/>
    <row r="258" ht="14.1" customHeight="1"/>
    <row r="259" ht="14.1" customHeight="1"/>
    <row r="260" ht="14.1" customHeight="1"/>
    <row r="261" ht="14.1" customHeight="1"/>
    <row r="262" ht="14.1" customHeight="1"/>
    <row r="263" ht="14.1" customHeight="1"/>
    <row r="264" ht="14.1" customHeight="1"/>
    <row r="265" ht="14.1" customHeight="1"/>
    <row r="266" ht="14.1" customHeight="1"/>
    <row r="267" ht="14.1" customHeight="1"/>
    <row r="268" ht="14.1" customHeight="1"/>
    <row r="269" ht="14.1" customHeight="1"/>
    <row r="270" ht="14.1" customHeight="1"/>
    <row r="271" ht="14.1" customHeight="1"/>
    <row r="272" ht="14.1" customHeight="1"/>
    <row r="273" ht="14.1" customHeight="1"/>
    <row r="274" ht="14.1" customHeight="1"/>
    <row r="275" ht="14.1" customHeight="1"/>
    <row r="276" ht="14.1" customHeight="1"/>
    <row r="277" ht="14.1" customHeight="1"/>
    <row r="278" ht="14.1" customHeight="1"/>
    <row r="279" ht="14.1" customHeight="1"/>
    <row r="280" ht="14.1" customHeight="1"/>
    <row r="281" ht="14.1" customHeight="1"/>
    <row r="282" ht="14.1" customHeight="1"/>
    <row r="283" ht="14.1" customHeight="1"/>
    <row r="284" ht="14.1" customHeight="1"/>
    <row r="285" ht="14.1" customHeight="1"/>
    <row r="286" ht="14.1" customHeight="1"/>
    <row r="287" ht="14.1" customHeight="1"/>
    <row r="288" ht="14.1" customHeight="1"/>
    <row r="289" ht="14.1" customHeight="1"/>
    <row r="290" ht="14.1" customHeight="1"/>
    <row r="291" ht="14.1" customHeight="1"/>
    <row r="292" ht="14.1" customHeight="1"/>
    <row r="293" ht="14.1" customHeight="1"/>
    <row r="294" ht="14.1" customHeight="1"/>
    <row r="295" ht="14.1" customHeight="1"/>
    <row r="296" ht="14.1" customHeight="1"/>
    <row r="297" ht="14.1" customHeight="1"/>
    <row r="298" ht="14.1" customHeight="1"/>
    <row r="299" ht="14.1" customHeight="1"/>
    <row r="300" ht="14.1" customHeight="1"/>
    <row r="301" ht="14.1" customHeight="1"/>
    <row r="302" ht="14.1" customHeight="1"/>
    <row r="303" ht="14.1" customHeight="1"/>
    <row r="304" ht="14.1" customHeight="1"/>
    <row r="305" ht="14.1" customHeight="1"/>
    <row r="306" ht="14.1" customHeight="1"/>
    <row r="307" ht="14.1" customHeight="1"/>
    <row r="308" ht="14.1" customHeight="1"/>
    <row r="309" ht="14.1" customHeight="1"/>
    <row r="310" ht="14.1" customHeight="1"/>
    <row r="311" ht="14.1" customHeight="1"/>
    <row r="312" ht="14.1" customHeight="1"/>
    <row r="313" ht="14.1" customHeight="1"/>
    <row r="314" ht="14.1" customHeight="1"/>
    <row r="315" ht="14.1" customHeight="1"/>
    <row r="316" ht="14.1" customHeight="1"/>
    <row r="317" ht="14.1" customHeight="1"/>
    <row r="318" ht="14.1" customHeight="1"/>
    <row r="319" ht="14.1" customHeight="1"/>
    <row r="320" ht="14.1" customHeight="1"/>
    <row r="321" ht="14.1" customHeight="1"/>
    <row r="322" ht="14.1" customHeight="1"/>
    <row r="323" ht="14.1" customHeight="1"/>
    <row r="324" ht="14.1" customHeight="1"/>
    <row r="325" ht="14.1" customHeight="1"/>
    <row r="326" ht="14.1" customHeight="1"/>
    <row r="327" ht="14.1" customHeight="1"/>
    <row r="328" ht="14.1" customHeight="1"/>
    <row r="329" ht="14.1" customHeight="1"/>
    <row r="330" ht="14.1" customHeight="1"/>
    <row r="331" ht="14.1" customHeight="1"/>
    <row r="332" ht="14.1" customHeight="1"/>
    <row r="333" ht="14.1" customHeight="1"/>
    <row r="334" ht="14.1" customHeight="1"/>
    <row r="335" ht="14.1" customHeight="1"/>
    <row r="336" ht="14.1" customHeight="1"/>
    <row r="337" ht="14.1" customHeight="1"/>
    <row r="338" ht="14.1" customHeight="1"/>
    <row r="339" ht="14.1" customHeight="1"/>
    <row r="340" ht="14.1" customHeight="1"/>
    <row r="341" ht="14.1" customHeight="1"/>
    <row r="342" ht="14.1" customHeight="1"/>
    <row r="343" ht="14.1" customHeight="1"/>
    <row r="344" ht="14.1" customHeight="1"/>
    <row r="345" ht="14.1" customHeight="1"/>
    <row r="346" ht="14.1" customHeight="1"/>
    <row r="347" ht="14.1" customHeight="1"/>
    <row r="348" ht="14.1" customHeight="1"/>
    <row r="349" ht="14.1" customHeight="1"/>
    <row r="350" ht="14.1" customHeight="1"/>
    <row r="351" ht="14.1" customHeight="1"/>
    <row r="352" ht="14.1" customHeight="1"/>
    <row r="353" ht="14.1" customHeight="1"/>
    <row r="354" ht="14.1" customHeight="1"/>
    <row r="355" ht="14.1" customHeight="1"/>
    <row r="356" ht="14.1" customHeight="1"/>
    <row r="357" ht="14.1" customHeight="1"/>
    <row r="358" ht="14.1" customHeight="1"/>
    <row r="359" ht="14.1" customHeight="1"/>
    <row r="360" ht="14.1" customHeight="1"/>
    <row r="361" ht="14.1" customHeight="1"/>
    <row r="362" ht="14.1" customHeight="1"/>
    <row r="363" ht="14.1" customHeight="1"/>
    <row r="364" ht="14.1" customHeight="1"/>
    <row r="365" ht="14.1" customHeight="1"/>
    <row r="366" ht="14.1" customHeight="1"/>
    <row r="367" ht="14.1" customHeight="1"/>
    <row r="368" ht="14.1" customHeight="1"/>
    <row r="369" ht="14.1" customHeight="1"/>
    <row r="370" ht="14.1" customHeight="1"/>
    <row r="371" ht="14.1" customHeight="1"/>
    <row r="372" ht="14.1" customHeight="1"/>
    <row r="373" ht="14.1" customHeight="1"/>
    <row r="374" ht="14.1" customHeight="1"/>
    <row r="375" ht="14.1" customHeight="1"/>
    <row r="376" ht="14.1" customHeight="1"/>
    <row r="377" ht="14.1" customHeight="1"/>
    <row r="378" ht="14.1" customHeight="1"/>
    <row r="379" ht="14.1" customHeight="1"/>
    <row r="380" ht="14.1" customHeight="1"/>
    <row r="381" ht="14.1" customHeight="1"/>
    <row r="382" ht="14.1" customHeight="1"/>
    <row r="383" ht="14.1" customHeight="1"/>
    <row r="384" ht="14.1" customHeight="1"/>
    <row r="385" ht="14.1" customHeight="1"/>
    <row r="386" ht="14.1" customHeight="1"/>
    <row r="387" ht="14.1" customHeight="1"/>
    <row r="388" ht="14.1" customHeight="1"/>
    <row r="389" ht="14.1" customHeight="1"/>
    <row r="390" ht="14.1" customHeight="1"/>
    <row r="391" ht="14.1" customHeight="1"/>
    <row r="392" ht="14.1" customHeight="1"/>
    <row r="393" ht="14.1" customHeight="1"/>
    <row r="394" ht="14.1" customHeight="1"/>
    <row r="395" ht="14.1" customHeight="1"/>
    <row r="396" ht="14.1" customHeight="1"/>
    <row r="397" ht="14.1" customHeight="1"/>
    <row r="398" ht="14.1" customHeight="1"/>
    <row r="399" ht="14.1" customHeight="1"/>
    <row r="400" ht="14.1" customHeight="1"/>
    <row r="401" ht="14.1" customHeight="1"/>
    <row r="402" ht="14.1" customHeight="1"/>
    <row r="403" ht="14.1" customHeight="1"/>
    <row r="404" ht="14.1" customHeight="1"/>
    <row r="405" ht="14.1" customHeight="1"/>
    <row r="406" ht="14.1" customHeight="1"/>
    <row r="407" ht="14.1" customHeight="1"/>
    <row r="408" ht="14.1" customHeight="1"/>
    <row r="409" ht="14.1" customHeight="1"/>
    <row r="410" ht="14.1" customHeight="1"/>
    <row r="411" ht="14.1" customHeight="1"/>
    <row r="412" ht="14.1" customHeight="1"/>
    <row r="413" ht="14.1" customHeight="1"/>
    <row r="414" ht="14.1" customHeight="1"/>
    <row r="415" ht="14.1" customHeight="1"/>
    <row r="416" ht="14.1" customHeight="1"/>
    <row r="417" ht="14.1" customHeight="1"/>
    <row r="418" ht="14.1" customHeight="1"/>
    <row r="419" ht="14.1" customHeight="1"/>
    <row r="420" ht="14.1" customHeight="1"/>
    <row r="421" ht="14.1" customHeight="1"/>
    <row r="422" ht="14.1" customHeight="1"/>
    <row r="423" ht="14.1" customHeight="1"/>
    <row r="424" ht="14.1" customHeight="1"/>
    <row r="425" ht="14.1" customHeight="1"/>
    <row r="426" ht="14.1" customHeight="1"/>
    <row r="427" ht="14.1" customHeight="1"/>
    <row r="428" ht="14.1" customHeight="1"/>
    <row r="429" ht="14.1" customHeight="1"/>
    <row r="430" ht="14.1" customHeight="1"/>
    <row r="431" ht="14.1" customHeight="1"/>
    <row r="432" ht="14.1" customHeight="1"/>
    <row r="433" ht="14.1" customHeight="1"/>
    <row r="434" ht="14.1" customHeight="1"/>
    <row r="435" ht="14.1" customHeight="1"/>
    <row r="436" ht="14.1" customHeight="1"/>
    <row r="437" ht="14.1" customHeight="1"/>
    <row r="438" ht="14.1" customHeight="1"/>
    <row r="439" ht="14.1" customHeight="1"/>
    <row r="440" ht="14.1" customHeight="1"/>
    <row r="441" ht="14.1" customHeight="1"/>
    <row r="442" ht="14.1" customHeight="1"/>
    <row r="443" ht="14.1" customHeight="1"/>
    <row r="444" ht="14.1" customHeight="1"/>
    <row r="445" ht="14.1" customHeight="1"/>
    <row r="446" ht="14.1" customHeight="1"/>
    <row r="447" ht="14.1" customHeight="1"/>
    <row r="448" ht="14.1" customHeight="1"/>
    <row r="449" ht="14.1" customHeight="1"/>
    <row r="450" ht="14.1" customHeight="1"/>
    <row r="451" ht="14.1" customHeight="1"/>
    <row r="452" ht="14.1" customHeight="1"/>
    <row r="453" ht="14.1" customHeight="1"/>
    <row r="454" ht="14.1" customHeight="1"/>
    <row r="455" ht="14.1" customHeight="1"/>
    <row r="456" ht="14.1" customHeight="1"/>
    <row r="457" ht="14.1" customHeight="1"/>
    <row r="458" ht="14.1" customHeight="1"/>
    <row r="459" ht="14.1" customHeight="1"/>
    <row r="460" ht="14.1" customHeight="1"/>
    <row r="461" ht="14.1" customHeight="1"/>
    <row r="462" ht="14.1" customHeight="1"/>
    <row r="463" ht="14.1" customHeight="1"/>
    <row r="464" ht="14.1" customHeight="1"/>
    <row r="465" ht="14.1" customHeight="1"/>
    <row r="466" ht="14.1" customHeight="1"/>
    <row r="467" ht="14.1" customHeight="1"/>
    <row r="468" ht="14.1" customHeight="1"/>
    <row r="469" ht="14.1" customHeight="1"/>
    <row r="470" ht="14.1" customHeight="1"/>
    <row r="471" ht="14.1" customHeight="1"/>
    <row r="472" ht="14.1" customHeight="1"/>
    <row r="473" ht="14.1" customHeight="1"/>
    <row r="474" ht="14.1" customHeight="1"/>
    <row r="475" ht="14.1" customHeight="1"/>
    <row r="476" ht="14.1" customHeight="1"/>
    <row r="477" ht="14.1" customHeight="1"/>
    <row r="478" ht="14.1" customHeight="1"/>
    <row r="479" ht="14.1" customHeight="1"/>
    <row r="480" ht="14.1" customHeight="1"/>
    <row r="481" ht="14.1" customHeight="1"/>
    <row r="482" ht="14.1" customHeight="1"/>
    <row r="483" ht="14.1" customHeight="1"/>
    <row r="484" ht="14.1" customHeight="1"/>
    <row r="485" ht="14.1" customHeight="1"/>
    <row r="486" ht="14.1" customHeight="1"/>
    <row r="487" ht="14.1" customHeight="1"/>
    <row r="488" ht="14.1" customHeight="1"/>
    <row r="489" ht="14.1" customHeight="1"/>
    <row r="490" ht="14.1" customHeight="1"/>
    <row r="491" ht="14.1" customHeight="1"/>
    <row r="492" ht="14.1" customHeight="1"/>
    <row r="493" ht="14.1" customHeight="1"/>
    <row r="494" ht="14.1" customHeight="1"/>
    <row r="495" ht="14.1" customHeight="1"/>
    <row r="496" ht="14.1" customHeight="1"/>
    <row r="497" ht="14.1" customHeight="1"/>
    <row r="498" ht="14.1" customHeight="1"/>
    <row r="499" ht="14.1" customHeight="1"/>
    <row r="500" ht="14.1" customHeight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</sheetData>
  <phoneticPr fontId="0" type="noConversion"/>
  <conditionalFormatting sqref="AB84:AB89">
    <cfRule type="expression" dxfId="32" priority="1" stopIfTrue="1">
      <formula>IF($P$4&gt;0,TRUE,FALSE)</formula>
    </cfRule>
  </conditionalFormatting>
  <conditionalFormatting sqref="N1:N60 N88:N65536 T134:AA136 T137:Z143 T117:Z133">
    <cfRule type="expression" dxfId="31" priority="2" stopIfTrue="1">
      <formula>IF($P$2&gt;0,TRUE,FALSE)</formula>
    </cfRule>
  </conditionalFormatting>
  <conditionalFormatting sqref="A1:A1048576 C1:E84 B1:B3 H61:H81 I1:M59 M88:M65536 P55 G1:H60 G90:L65536 B5:B84 G61:G88 B85:E65536 F1:F1048576">
    <cfRule type="expression" dxfId="30" priority="3" stopIfTrue="1">
      <formula>IF($P$2&gt;0,TRUE,FALSE)</formula>
    </cfRule>
  </conditionalFormatting>
  <conditionalFormatting sqref="B4">
    <cfRule type="expression" dxfId="29" priority="4" stopIfTrue="1">
      <formula>IF($P$2&gt;0,TRUE,FALSE)</formula>
    </cfRule>
  </conditionalFormatting>
  <conditionalFormatting sqref="G89">
    <cfRule type="expression" dxfId="28" priority="5" stopIfTrue="1">
      <formula>IF($P$2&gt;0,TRUE,IF($Q$49="YES",TRUE,FALSE))</formula>
    </cfRule>
  </conditionalFormatting>
  <conditionalFormatting sqref="H82:H85">
    <cfRule type="expression" dxfId="27" priority="6" stopIfTrue="1">
      <formula>IF($P$2&gt;0,TRUE,IF($Q$49="YES",TRUE,FALSE))</formula>
    </cfRule>
    <cfRule type="expression" dxfId="26" priority="7" stopIfTrue="1">
      <formula>IF($Q$47="NONE",TRUE,IF($Q$51="OVERHEAD",TRUE,FALSE))</formula>
    </cfRule>
  </conditionalFormatting>
  <conditionalFormatting sqref="I61:N87">
    <cfRule type="expression" dxfId="25" priority="8" stopIfTrue="1">
      <formula>IF($P$2&gt;0,TRUE,FALSE)</formula>
    </cfRule>
  </conditionalFormatting>
  <pageMargins left="0.25" right="0.25" top="0.25" bottom="0.25" header="0" footer="0"/>
  <pageSetup scale="7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1:BT583"/>
  <sheetViews>
    <sheetView showOutlineSymbols="0" topLeftCell="BJ13" workbookViewId="0">
      <selection activeCell="BT31" sqref="BT31"/>
    </sheetView>
  </sheetViews>
  <sheetFormatPr defaultColWidth="0" defaultRowHeight="11.25" zeroHeight="1"/>
  <cols>
    <col min="1" max="1" width="2.7109375" style="51" customWidth="1"/>
    <col min="2" max="2" width="14.140625" style="51" customWidth="1"/>
    <col min="3" max="3" width="27.7109375" style="51" customWidth="1"/>
    <col min="4" max="4" width="5" style="51" customWidth="1"/>
    <col min="5" max="5" width="10.7109375" style="51" customWidth="1"/>
    <col min="6" max="6" width="3.42578125" style="51" customWidth="1"/>
    <col min="7" max="7" width="11.85546875" style="51" customWidth="1"/>
    <col min="8" max="8" width="2.7109375" style="51" customWidth="1"/>
    <col min="9" max="10" width="3.7109375" style="51" customWidth="1"/>
    <col min="11" max="11" width="2.7109375" style="51" customWidth="1"/>
    <col min="12" max="12" width="16" style="51" customWidth="1"/>
    <col min="13" max="13" width="10.42578125" style="51" customWidth="1"/>
    <col min="14" max="14" width="7.85546875" style="51" customWidth="1"/>
    <col min="15" max="37" width="10.7109375" style="51" customWidth="1"/>
    <col min="38" max="42" width="10.7109375" style="322" customWidth="1"/>
    <col min="43" max="59" width="10.7109375" style="51" customWidth="1"/>
    <col min="60" max="60" width="22" style="51" customWidth="1"/>
    <col min="61" max="61" width="3.42578125" style="51" customWidth="1"/>
    <col min="62" max="62" width="4.7109375" style="51" customWidth="1"/>
    <col min="63" max="63" width="3.7109375" style="51" customWidth="1"/>
    <col min="64" max="64" width="10.28515625" style="322" customWidth="1"/>
    <col min="65" max="65" width="3.7109375" style="51" customWidth="1"/>
    <col min="66" max="66" width="10.7109375" style="322" customWidth="1"/>
    <col min="67" max="67" width="4.28515625" style="51" customWidth="1"/>
    <col min="68" max="69" width="10.7109375" style="51" customWidth="1"/>
    <col min="70" max="70" width="10.7109375" style="334" customWidth="1"/>
    <col min="71" max="239" width="10.7109375" style="51" customWidth="1"/>
    <col min="240" max="16384" width="0" style="51" hidden="1"/>
  </cols>
  <sheetData>
    <row r="1" spans="2:72">
      <c r="E1" s="321"/>
      <c r="P1" s="49"/>
      <c r="R1" s="51" t="s">
        <v>544</v>
      </c>
      <c r="S1" s="51">
        <f>Input!E7</f>
        <v>2008</v>
      </c>
      <c r="AD1" s="51" t="s">
        <v>291</v>
      </c>
    </row>
    <row r="2" spans="2:72">
      <c r="B2" s="323" t="s">
        <v>29</v>
      </c>
      <c r="F2" s="324"/>
      <c r="G2" s="325" t="s">
        <v>0</v>
      </c>
      <c r="H2" s="325"/>
      <c r="I2" s="325"/>
      <c r="J2" s="325"/>
      <c r="K2" s="325"/>
      <c r="L2" s="51" t="str">
        <f>IF(ISBLANK(Input!E4)=TRUE,"NO ENTRY",Input!E4)</f>
        <v>SAMPLE</v>
      </c>
      <c r="P2" s="49">
        <f>Input!O121+P3</f>
        <v>0</v>
      </c>
      <c r="U2" s="51" t="s">
        <v>491</v>
      </c>
      <c r="AB2" s="326" t="s">
        <v>79</v>
      </c>
      <c r="AC2" s="327"/>
      <c r="AD2" s="327"/>
      <c r="AE2" s="327"/>
      <c r="AF2" s="327"/>
      <c r="AG2" s="327"/>
      <c r="AH2" s="327"/>
      <c r="AI2" s="327"/>
      <c r="AJ2" s="327"/>
      <c r="AK2" s="328"/>
    </row>
    <row r="3" spans="2:72">
      <c r="B3" s="375" t="str">
        <f>IF(S1=2005,"BASED ON THE 2005 NEC SECTION 220.40",IF(S1=2008,"BASED ON THE 2008 NEC SECTION 220.40","BASED ON THE 2002 NEC SECTION 220"))</f>
        <v>BASED ON THE 2008 NEC SECTION 220.40</v>
      </c>
      <c r="C3" s="370"/>
      <c r="F3" s="324"/>
      <c r="G3" s="325" t="s">
        <v>454</v>
      </c>
      <c r="H3" s="325"/>
      <c r="I3" s="325"/>
      <c r="J3" s="325"/>
      <c r="K3" s="325"/>
      <c r="L3" s="51" t="str">
        <f>IF(ISBLANK(Input!J8)=TRUE,"NO ENTRY",Input!J8)</f>
        <v>SP1</v>
      </c>
      <c r="P3" s="51">
        <f>Input!R1</f>
        <v>0</v>
      </c>
      <c r="U3" s="51" t="s">
        <v>493</v>
      </c>
      <c r="AA3" s="51">
        <v>1</v>
      </c>
      <c r="AB3" s="329" t="str">
        <f>IF(ISBLANK(Input!D82)=TRUE,"",Input!D82)</f>
        <v>MIRCOWAVE</v>
      </c>
      <c r="AC3" s="330">
        <f>Input!E82</f>
        <v>2</v>
      </c>
      <c r="AD3" s="331" t="s">
        <v>76</v>
      </c>
      <c r="AE3" s="331">
        <f>Input!F82</f>
        <v>9.5</v>
      </c>
      <c r="AF3" s="331" t="s">
        <v>290</v>
      </c>
      <c r="AG3" s="332">
        <f>Input!Q$5</f>
        <v>120</v>
      </c>
      <c r="AH3" s="331" t="s">
        <v>415</v>
      </c>
      <c r="AI3" s="331" t="str">
        <f t="shared" ref="AI3:AI36" si="0">IF(AC3=0,"",CONCATENATE(AB3,AD$1,AC3,AD3,AE3,AF3,AG3,AH3))</f>
        <v xml:space="preserve">MIRCOWAVE ( 2 X 9.5 A X 120 V ) = </v>
      </c>
      <c r="AJ3" s="331"/>
      <c r="AK3" s="333">
        <f t="shared" ref="AK3:AK26" si="1">IF(AC3=0,"",ROUND((AC3*AE3*AG3),0))</f>
        <v>2280</v>
      </c>
      <c r="BH3" s="51" t="s">
        <v>566</v>
      </c>
      <c r="BI3" s="51" t="s">
        <v>291</v>
      </c>
      <c r="BJ3" s="335" t="str">
        <f>IF(Input!E33=0,"",Input!E33)</f>
        <v/>
      </c>
      <c r="BK3" s="51" t="s">
        <v>76</v>
      </c>
      <c r="BL3" s="322">
        <f>Input!F33*1000</f>
        <v>0</v>
      </c>
      <c r="BM3" s="51" t="s">
        <v>556</v>
      </c>
      <c r="BP3" s="51">
        <f>IF(BJ14&gt;3,0.75,1)</f>
        <v>1</v>
      </c>
      <c r="BQ3" s="51" t="s">
        <v>260</v>
      </c>
      <c r="BR3" s="334" t="str">
        <f>IF(BJ3="","",ROUND(BJ3*BL3*BP3,0))</f>
        <v/>
      </c>
      <c r="BS3" s="51" t="s">
        <v>488</v>
      </c>
    </row>
    <row r="4" spans="2:72">
      <c r="B4" s="51" t="s">
        <v>66</v>
      </c>
      <c r="G4" s="51" t="s">
        <v>66</v>
      </c>
      <c r="U4" s="51" t="s">
        <v>495</v>
      </c>
      <c r="AA4" s="51">
        <f t="shared" ref="AA4:AA36" si="2">AA3+1</f>
        <v>2</v>
      </c>
      <c r="AB4" s="329" t="str">
        <f>IF(ISBLANK(Input!D83)=TRUE,"",Input!D83)</f>
        <v>CENTRAL VAC</v>
      </c>
      <c r="AC4" s="331">
        <f>Input!E83</f>
        <v>1</v>
      </c>
      <c r="AD4" s="331" t="s">
        <v>76</v>
      </c>
      <c r="AE4" s="331">
        <f>Input!F83</f>
        <v>12</v>
      </c>
      <c r="AF4" s="331" t="s">
        <v>290</v>
      </c>
      <c r="AG4" s="332">
        <f>Input!Q$5</f>
        <v>120</v>
      </c>
      <c r="AH4" s="331" t="s">
        <v>415</v>
      </c>
      <c r="AI4" s="331" t="str">
        <f t="shared" si="0"/>
        <v xml:space="preserve">CENTRAL VAC ( 1 X 12 A X 120 V ) = </v>
      </c>
      <c r="AJ4" s="331"/>
      <c r="AK4" s="333">
        <f t="shared" si="1"/>
        <v>1440</v>
      </c>
      <c r="BH4" s="51" t="str">
        <f>IF(ISBLANK(Input!D37)=TRUE,"",Input!D37)</f>
        <v>CENTRAL VAC</v>
      </c>
      <c r="BI4" s="51" t="s">
        <v>291</v>
      </c>
      <c r="BJ4" s="51">
        <f>IF(Input!E37=0,"",Input!E37)</f>
        <v>1</v>
      </c>
      <c r="BK4" s="51" t="s">
        <v>76</v>
      </c>
      <c r="BL4" s="322">
        <f>IF(ISBLANK(Input!F37)=TRUE,"",ROUND(Input!F37,0))</f>
        <v>12</v>
      </c>
      <c r="BM4" s="51" t="s">
        <v>76</v>
      </c>
      <c r="BN4" s="322">
        <f>Input!J5</f>
        <v>120</v>
      </c>
      <c r="BO4" s="51" t="s">
        <v>76</v>
      </c>
      <c r="BP4" s="51">
        <f>BP3</f>
        <v>1</v>
      </c>
      <c r="BQ4" s="51" t="s">
        <v>260</v>
      </c>
      <c r="BR4" s="334">
        <f t="shared" ref="BR4:BR13" si="3">IF(BJ4="","",(BJ4*BL4*BN4*BP4))</f>
        <v>1440</v>
      </c>
      <c r="BS4" s="51" t="s">
        <v>488</v>
      </c>
    </row>
    <row r="5" spans="2:72">
      <c r="B5" s="375" t="str">
        <f>IF(S1=2002,"GENERAL LOADS NEC 220.11","GENERAL LOADS NEC 220.42")</f>
        <v>GENERAL LOADS NEC 220.42</v>
      </c>
      <c r="C5" s="370"/>
      <c r="G5" s="375" t="str">
        <f>IF(S1&lt;&gt;2002,"HEATING &amp; COOLING LOADS - NEC 220.82(C)","HEATING &amp; COOLING LOADS - NEC 220.30(C)")</f>
        <v>HEATING &amp; COOLING LOADS - NEC 220.82(C)</v>
      </c>
      <c r="H5" s="370"/>
      <c r="I5" s="370"/>
      <c r="J5" s="370"/>
      <c r="K5" s="370"/>
      <c r="L5" s="370"/>
      <c r="M5" s="370"/>
      <c r="AA5" s="51">
        <f t="shared" si="2"/>
        <v>3</v>
      </c>
      <c r="AB5" s="329" t="str">
        <f>IF(ISBLANK(Input!D84)=TRUE,"",Input!D84)</f>
        <v/>
      </c>
      <c r="AC5" s="331">
        <f>Input!E84</f>
        <v>0</v>
      </c>
      <c r="AD5" s="331" t="s">
        <v>76</v>
      </c>
      <c r="AE5" s="331">
        <f>Input!F84</f>
        <v>0</v>
      </c>
      <c r="AF5" s="331" t="s">
        <v>290</v>
      </c>
      <c r="AG5" s="332">
        <f>Input!Q$5</f>
        <v>120</v>
      </c>
      <c r="AH5" s="331" t="s">
        <v>415</v>
      </c>
      <c r="AI5" s="331" t="str">
        <f t="shared" si="0"/>
        <v/>
      </c>
      <c r="AJ5" s="331"/>
      <c r="AK5" s="333" t="str">
        <f t="shared" si="1"/>
        <v/>
      </c>
      <c r="BH5" s="51" t="str">
        <f>IF(ISBLANK(Input!D38)=TRUE,"",Input!D38)</f>
        <v/>
      </c>
      <c r="BI5" s="51" t="s">
        <v>291</v>
      </c>
      <c r="BJ5" s="51" t="str">
        <f>IF(Input!E38=0,"",Input!E38)</f>
        <v/>
      </c>
      <c r="BK5" s="51" t="s">
        <v>76</v>
      </c>
      <c r="BL5" s="322" t="str">
        <f>IF(ISBLANK(Input!F38)=TRUE,"",ROUND(Input!F38,0))</f>
        <v/>
      </c>
      <c r="BM5" s="51" t="s">
        <v>76</v>
      </c>
      <c r="BN5" s="322">
        <f>BN4</f>
        <v>120</v>
      </c>
      <c r="BO5" s="51" t="s">
        <v>76</v>
      </c>
      <c r="BP5" s="51">
        <f t="shared" ref="BP5:BP13" si="4">BP4</f>
        <v>1</v>
      </c>
      <c r="BQ5" s="51" t="s">
        <v>260</v>
      </c>
      <c r="BR5" s="334" t="str">
        <f t="shared" si="3"/>
        <v/>
      </c>
      <c r="BS5" s="51" t="s">
        <v>488</v>
      </c>
    </row>
    <row r="6" spans="2:72">
      <c r="B6" s="51" t="str">
        <f>U6</f>
        <v xml:space="preserve">TOTAL SQ FOOTAGE ( 600 SQ FT X 3 VA ) = </v>
      </c>
      <c r="D6" s="334"/>
      <c r="E6" s="321">
        <f>Input!J10*3</f>
        <v>1800</v>
      </c>
      <c r="G6" s="370" t="str">
        <f>AJ84</f>
        <v>(1) AC LOAD ( 4,000 VA X 100% ) = 4,000 VA</v>
      </c>
      <c r="H6" s="370"/>
      <c r="I6" s="370"/>
      <c r="J6" s="370"/>
      <c r="K6" s="370"/>
      <c r="L6" s="370"/>
      <c r="M6" s="370" t="str">
        <f>IF(AV93&gt;0,"&lt; &lt; LARGEST","")</f>
        <v>&lt; &lt; LARGEST</v>
      </c>
      <c r="Q6" s="335" t="str">
        <f>TEXT(Input!J10,"#,##0")</f>
        <v>600</v>
      </c>
      <c r="R6" s="51" t="s">
        <v>492</v>
      </c>
      <c r="U6" s="336" t="str">
        <f>CONCATENATE(,U2,Q6,R6,S6,T6)</f>
        <v xml:space="preserve">TOTAL SQ FOOTAGE ( 600 SQ FT X 3 VA ) = </v>
      </c>
      <c r="AA6" s="51">
        <f t="shared" si="2"/>
        <v>4</v>
      </c>
      <c r="AB6" s="329" t="str">
        <f>IF(ISBLANK(Input!D85)=TRUE,"",Input!D85)</f>
        <v/>
      </c>
      <c r="AC6" s="331">
        <f>Input!E85</f>
        <v>0</v>
      </c>
      <c r="AD6" s="331" t="s">
        <v>76</v>
      </c>
      <c r="AE6" s="331">
        <f>Input!F85</f>
        <v>0</v>
      </c>
      <c r="AF6" s="331" t="s">
        <v>290</v>
      </c>
      <c r="AG6" s="332">
        <f>Input!Q$5</f>
        <v>120</v>
      </c>
      <c r="AH6" s="331" t="s">
        <v>415</v>
      </c>
      <c r="AI6" s="331" t="str">
        <f t="shared" si="0"/>
        <v/>
      </c>
      <c r="AJ6" s="331"/>
      <c r="AK6" s="333" t="str">
        <f t="shared" si="1"/>
        <v/>
      </c>
      <c r="AT6" s="51" t="s">
        <v>477</v>
      </c>
      <c r="AU6" s="335">
        <f>Input!E31</f>
        <v>0</v>
      </c>
      <c r="BH6" s="51" t="str">
        <f>IF(ISBLANK(Input!D39)=TRUE,"",Input!D39)</f>
        <v/>
      </c>
      <c r="BI6" s="51" t="s">
        <v>291</v>
      </c>
      <c r="BJ6" s="51" t="str">
        <f>IF(Input!E39=0,"",Input!E39)</f>
        <v/>
      </c>
      <c r="BK6" s="51" t="s">
        <v>76</v>
      </c>
      <c r="BL6" s="322" t="str">
        <f>IF(ISBLANK(Input!F39)=TRUE,"",ROUND(Input!F39,0))</f>
        <v/>
      </c>
      <c r="BM6" s="51" t="s">
        <v>76</v>
      </c>
      <c r="BN6" s="322">
        <f t="shared" ref="BN6:BN13" si="5">BN5</f>
        <v>120</v>
      </c>
      <c r="BO6" s="51" t="s">
        <v>76</v>
      </c>
      <c r="BP6" s="51">
        <f t="shared" si="4"/>
        <v>1</v>
      </c>
      <c r="BQ6" s="51" t="s">
        <v>260</v>
      </c>
      <c r="BR6" s="334" t="str">
        <f t="shared" si="3"/>
        <v/>
      </c>
      <c r="BS6" s="51" t="s">
        <v>488</v>
      </c>
    </row>
    <row r="7" spans="2:72">
      <c r="B7" s="51" t="str">
        <f>U7</f>
        <v xml:space="preserve">APPLIANCE CIRCUITS ( 0 X 1,500 VA ) = </v>
      </c>
      <c r="D7" s="334"/>
      <c r="E7" s="321">
        <f>Input!J11*1500</f>
        <v>0</v>
      </c>
      <c r="G7" s="370" t="str">
        <f>AJ85</f>
        <v>(2) HEAT PUMPS NO SUPP ( 0 VA X 100% ) = 0 VA</v>
      </c>
      <c r="H7" s="370"/>
      <c r="I7" s="370"/>
      <c r="J7" s="370"/>
      <c r="K7" s="370"/>
      <c r="L7" s="370"/>
      <c r="M7" s="370" t="str">
        <f>IF(AV94&gt;0,"&lt; &lt; LARGEST","")</f>
        <v/>
      </c>
      <c r="Q7" s="337">
        <f>Input!J11</f>
        <v>0</v>
      </c>
      <c r="R7" s="51" t="s">
        <v>494</v>
      </c>
      <c r="U7" s="336" t="str">
        <f>CONCATENATE(U3,Q7,R7,S7,T7)</f>
        <v xml:space="preserve">APPLIANCE CIRCUITS ( 0 X 1,500 VA ) = </v>
      </c>
      <c r="AA7" s="51">
        <f t="shared" si="2"/>
        <v>5</v>
      </c>
      <c r="AB7" s="329" t="str">
        <f>IF(ISBLANK(Input!D86)=TRUE,"",Input!D86)</f>
        <v/>
      </c>
      <c r="AC7" s="331">
        <f>Input!E86</f>
        <v>0</v>
      </c>
      <c r="AD7" s="331" t="s">
        <v>76</v>
      </c>
      <c r="AE7" s="331">
        <f>Input!F86</f>
        <v>0</v>
      </c>
      <c r="AF7" s="331" t="s">
        <v>290</v>
      </c>
      <c r="AG7" s="332">
        <f>Input!Q$5</f>
        <v>120</v>
      </c>
      <c r="AH7" s="331" t="s">
        <v>415</v>
      </c>
      <c r="AI7" s="331" t="str">
        <f t="shared" si="0"/>
        <v/>
      </c>
      <c r="AJ7" s="331"/>
      <c r="AK7" s="333" t="str">
        <f t="shared" si="1"/>
        <v/>
      </c>
      <c r="AT7" s="51" t="s">
        <v>133</v>
      </c>
      <c r="AU7" s="51">
        <f>Input!F31</f>
        <v>0</v>
      </c>
      <c r="BH7" s="51" t="str">
        <f>IF(ISBLANK(Input!D40)=TRUE,"",Input!D40)</f>
        <v/>
      </c>
      <c r="BI7" s="51" t="s">
        <v>291</v>
      </c>
      <c r="BJ7" s="51" t="str">
        <f>IF(Input!E40=0,"",Input!E40)</f>
        <v/>
      </c>
      <c r="BK7" s="51" t="s">
        <v>76</v>
      </c>
      <c r="BL7" s="322" t="str">
        <f>IF(ISBLANK(Input!F40)=TRUE,"",ROUND(Input!F40,0))</f>
        <v/>
      </c>
      <c r="BM7" s="51" t="s">
        <v>76</v>
      </c>
      <c r="BN7" s="322">
        <f t="shared" si="5"/>
        <v>120</v>
      </c>
      <c r="BO7" s="51" t="s">
        <v>76</v>
      </c>
      <c r="BP7" s="51">
        <f t="shared" si="4"/>
        <v>1</v>
      </c>
      <c r="BQ7" s="51" t="s">
        <v>260</v>
      </c>
      <c r="BR7" s="334" t="str">
        <f t="shared" si="3"/>
        <v/>
      </c>
      <c r="BS7" s="51" t="s">
        <v>488</v>
      </c>
    </row>
    <row r="8" spans="2:72">
      <c r="B8" s="51" t="str">
        <f>U8</f>
        <v xml:space="preserve">LAUNDRY CIRCUITS ( 1 X 1,500 VA ) = </v>
      </c>
      <c r="D8" s="334"/>
      <c r="E8" s="321">
        <f>Input!J12*1500</f>
        <v>1500</v>
      </c>
      <c r="G8" s="370" t="str">
        <f>AJ86</f>
        <v>(3) HEAT PUMPS ( 0 VA X 100% ) = 0 VA</v>
      </c>
      <c r="H8" s="370"/>
      <c r="I8" s="370"/>
      <c r="J8" s="370"/>
      <c r="K8" s="370"/>
      <c r="L8" s="370"/>
      <c r="M8" s="370" t="str">
        <f>IF(AV95&gt;0,"&lt; &lt; LARGEST","")</f>
        <v/>
      </c>
      <c r="Q8" s="337">
        <f>Input!J12</f>
        <v>1</v>
      </c>
      <c r="R8" s="51" t="s">
        <v>494</v>
      </c>
      <c r="U8" s="336" t="str">
        <f>CONCATENATE(U4,Q8,R8,S8,T8)</f>
        <v xml:space="preserve">LAUNDRY CIRCUITS ( 1 X 1,500 VA ) = </v>
      </c>
      <c r="AA8" s="51">
        <f t="shared" si="2"/>
        <v>6</v>
      </c>
      <c r="AB8" s="329" t="str">
        <f>IF(ISBLANK(Input!D87)=TRUE,"",Input!D87)</f>
        <v/>
      </c>
      <c r="AC8" s="331">
        <f>Input!E87</f>
        <v>0</v>
      </c>
      <c r="AD8" s="331" t="s">
        <v>76</v>
      </c>
      <c r="AE8" s="331">
        <f>Input!F87</f>
        <v>0</v>
      </c>
      <c r="AF8" s="331" t="s">
        <v>290</v>
      </c>
      <c r="AG8" s="332">
        <f>Input!Q$5</f>
        <v>120</v>
      </c>
      <c r="AH8" s="331" t="s">
        <v>415</v>
      </c>
      <c r="AI8" s="331" t="str">
        <f t="shared" si="0"/>
        <v/>
      </c>
      <c r="AJ8" s="331"/>
      <c r="AK8" s="333" t="str">
        <f t="shared" si="1"/>
        <v/>
      </c>
      <c r="AT8" s="51" t="s">
        <v>77</v>
      </c>
      <c r="AU8" s="49">
        <f>Input!J9</f>
        <v>1</v>
      </c>
      <c r="BH8" s="51" t="str">
        <f>IF(ISBLANK(Input!D41)=TRUE,"",Input!D41)</f>
        <v/>
      </c>
      <c r="BI8" s="51" t="s">
        <v>291</v>
      </c>
      <c r="BJ8" s="51" t="str">
        <f>IF(Input!E41=0,"",Input!E41)</f>
        <v/>
      </c>
      <c r="BK8" s="51" t="s">
        <v>76</v>
      </c>
      <c r="BL8" s="322" t="str">
        <f>IF(ISBLANK(Input!F41)=TRUE,"",ROUND(Input!F41,0))</f>
        <v/>
      </c>
      <c r="BM8" s="51" t="s">
        <v>76</v>
      </c>
      <c r="BN8" s="322">
        <f t="shared" si="5"/>
        <v>120</v>
      </c>
      <c r="BO8" s="51" t="s">
        <v>76</v>
      </c>
      <c r="BP8" s="51">
        <f t="shared" si="4"/>
        <v>1</v>
      </c>
      <c r="BQ8" s="51" t="s">
        <v>260</v>
      </c>
      <c r="BR8" s="334" t="str">
        <f t="shared" si="3"/>
        <v/>
      </c>
      <c r="BS8" s="51" t="s">
        <v>488</v>
      </c>
    </row>
    <row r="9" spans="2:72">
      <c r="B9" s="51" t="s">
        <v>66</v>
      </c>
      <c r="D9" s="334" t="s">
        <v>552</v>
      </c>
      <c r="E9" s="338">
        <f>SUM(E6:E8)</f>
        <v>3300</v>
      </c>
      <c r="G9" s="370" t="str">
        <f>IF(S1&lt;&gt;2008,"      CONTINUOUS AT THE FULL NAMEPLATE VALUE",BA86)</f>
        <v xml:space="preserve">      SUPPLEMENTAL HEAT ( 0 VA X 65% ) = 0 VA</v>
      </c>
      <c r="H9" s="370"/>
      <c r="I9" s="370"/>
      <c r="J9" s="370"/>
      <c r="K9" s="370"/>
      <c r="L9" s="370"/>
      <c r="M9" s="370" t="str">
        <f>IF(S1&lt;&gt;2008,"",IF(AV95&gt;0,"&lt; &lt; LARGEST",""))</f>
        <v/>
      </c>
      <c r="Q9" s="337">
        <f>Input!E31</f>
        <v>0</v>
      </c>
      <c r="R9" s="51" t="s">
        <v>76</v>
      </c>
      <c r="S9" s="51" t="str">
        <f>TEXT(Input!F31*1000,"#,##0")</f>
        <v>0</v>
      </c>
      <c r="T9" s="51" t="s">
        <v>78</v>
      </c>
      <c r="U9" s="51" t="str">
        <f>CONCATENATE(Q9,R9,S9,T9)</f>
        <v xml:space="preserve">0 X 0 VA = </v>
      </c>
      <c r="AA9" s="51">
        <f t="shared" si="2"/>
        <v>7</v>
      </c>
      <c r="AB9" s="329" t="str">
        <f>IF(ISBLANK(Input!D88)=TRUE,"",Input!D88)</f>
        <v/>
      </c>
      <c r="AC9" s="331">
        <f>Input!E88</f>
        <v>0</v>
      </c>
      <c r="AD9" s="331" t="s">
        <v>76</v>
      </c>
      <c r="AE9" s="331">
        <f>Input!F88</f>
        <v>0</v>
      </c>
      <c r="AF9" s="331" t="s">
        <v>290</v>
      </c>
      <c r="AG9" s="332">
        <f>Input!Q$5</f>
        <v>120</v>
      </c>
      <c r="AH9" s="331" t="s">
        <v>415</v>
      </c>
      <c r="AI9" s="331" t="str">
        <f t="shared" si="0"/>
        <v/>
      </c>
      <c r="AJ9" s="331"/>
      <c r="AK9" s="333" t="str">
        <f t="shared" si="1"/>
        <v/>
      </c>
      <c r="AT9" s="51" t="s">
        <v>490</v>
      </c>
      <c r="AU9" s="51">
        <f>CEILING(AU6/3,1)*2</f>
        <v>0</v>
      </c>
      <c r="BH9" s="51" t="str">
        <f>IF(ISBLANK(Input!D42)=TRUE,"",Input!D42)</f>
        <v/>
      </c>
      <c r="BI9" s="51" t="s">
        <v>291</v>
      </c>
      <c r="BJ9" s="51" t="str">
        <f>IF(Input!E42=0,"",Input!E42)</f>
        <v/>
      </c>
      <c r="BK9" s="51" t="s">
        <v>76</v>
      </c>
      <c r="BL9" s="322" t="str">
        <f>IF(ISBLANK(Input!F42)=TRUE,"",ROUND(Input!F42,0))</f>
        <v/>
      </c>
      <c r="BM9" s="51" t="s">
        <v>76</v>
      </c>
      <c r="BN9" s="322">
        <f t="shared" si="5"/>
        <v>120</v>
      </c>
      <c r="BO9" s="51" t="s">
        <v>76</v>
      </c>
      <c r="BP9" s="51">
        <f t="shared" si="4"/>
        <v>1</v>
      </c>
      <c r="BQ9" s="51" t="s">
        <v>260</v>
      </c>
      <c r="BR9" s="334" t="str">
        <f t="shared" si="3"/>
        <v/>
      </c>
      <c r="BS9" s="51" t="s">
        <v>488</v>
      </c>
    </row>
    <row r="10" spans="2:72">
      <c r="B10" s="51" t="s">
        <v>66</v>
      </c>
      <c r="D10" s="334"/>
      <c r="E10" s="369" t="s">
        <v>66</v>
      </c>
      <c r="G10" s="370" t="str">
        <f>AN87</f>
        <v>(4) ELECTRIC SPACE ( 0 VA X 65% ) = 0 VA</v>
      </c>
      <c r="H10" s="370"/>
      <c r="I10" s="370"/>
      <c r="J10" s="370"/>
      <c r="K10" s="370"/>
      <c r="L10" s="370"/>
      <c r="M10" s="370" t="str">
        <f>IF(AV96&gt;0,"&lt; &lt; LARGEST","")</f>
        <v/>
      </c>
      <c r="Q10" s="337">
        <f>Input!E32</f>
        <v>1</v>
      </c>
      <c r="R10" s="51" t="s">
        <v>76</v>
      </c>
      <c r="S10" s="51" t="str">
        <f>TEXT(Input!F32*1000,"#,##0")</f>
        <v>5,000</v>
      </c>
      <c r="T10" s="51" t="s">
        <v>78</v>
      </c>
      <c r="U10" s="51" t="str">
        <f>CONCATENATE(Q10,R10,S10,T10)</f>
        <v xml:space="preserve">1 X 5,000 VA = </v>
      </c>
      <c r="AA10" s="51">
        <f t="shared" si="2"/>
        <v>8</v>
      </c>
      <c r="AB10" s="329" t="str">
        <f>IF(ISBLANK(Input!D89)=TRUE,"",Input!D89)</f>
        <v/>
      </c>
      <c r="AC10" s="331">
        <f>Input!E89</f>
        <v>0</v>
      </c>
      <c r="AD10" s="331" t="s">
        <v>76</v>
      </c>
      <c r="AE10" s="331">
        <f>Input!F89</f>
        <v>0</v>
      </c>
      <c r="AF10" s="331" t="s">
        <v>290</v>
      </c>
      <c r="AG10" s="332">
        <f>Input!Q$5</f>
        <v>120</v>
      </c>
      <c r="AH10" s="331" t="s">
        <v>415</v>
      </c>
      <c r="AI10" s="331" t="str">
        <f t="shared" si="0"/>
        <v/>
      </c>
      <c r="AJ10" s="331"/>
      <c r="AK10" s="333" t="str">
        <f t="shared" si="1"/>
        <v/>
      </c>
      <c r="BH10" s="51" t="str">
        <f>IF(ISBLANK(Input!D43)=TRUE,"",Input!D43)</f>
        <v/>
      </c>
      <c r="BI10" s="51" t="s">
        <v>291</v>
      </c>
      <c r="BJ10" s="51" t="str">
        <f>IF(Input!E43=0,"",Input!E43)</f>
        <v/>
      </c>
      <c r="BK10" s="51" t="s">
        <v>76</v>
      </c>
      <c r="BL10" s="322" t="str">
        <f>IF(ISBLANK(Input!F43)=TRUE,"",ROUND(Input!F43,0))</f>
        <v/>
      </c>
      <c r="BM10" s="51" t="s">
        <v>76</v>
      </c>
      <c r="BN10" s="322">
        <f t="shared" si="5"/>
        <v>120</v>
      </c>
      <c r="BO10" s="51" t="s">
        <v>76</v>
      </c>
      <c r="BP10" s="51">
        <f t="shared" si="4"/>
        <v>1</v>
      </c>
      <c r="BQ10" s="51" t="s">
        <v>260</v>
      </c>
      <c r="BR10" s="334" t="str">
        <f t="shared" si="3"/>
        <v/>
      </c>
      <c r="BS10" s="51" t="s">
        <v>488</v>
      </c>
    </row>
    <row r="11" spans="2:72">
      <c r="B11" s="51" t="s">
        <v>553</v>
      </c>
      <c r="D11" s="334"/>
      <c r="E11" s="369">
        <f>IF(E9=3000,3000,IF(E9&gt;3000,3000,E9))</f>
        <v>3000</v>
      </c>
      <c r="G11" s="370" t="str">
        <f>IF(S1=2008,"      LESS THAN FOUR SEPARATELY CONTROLLED UNITS.",IF(S1=2002,"",BA89))</f>
        <v xml:space="preserve">      LESS THAN FOUR SEPARATELY CONTROLLED UNITS.</v>
      </c>
      <c r="H11" s="370"/>
      <c r="I11" s="370"/>
      <c r="J11" s="370"/>
      <c r="K11" s="370"/>
      <c r="L11" s="370"/>
      <c r="M11" s="370" t="str">
        <f>IF(S1&lt;&gt;2005,"",IF(AV96&gt;0,"&lt; &lt; LARGEST",""))</f>
        <v/>
      </c>
      <c r="Q11" s="337">
        <f>Input!E33</f>
        <v>0</v>
      </c>
      <c r="R11" s="51" t="s">
        <v>76</v>
      </c>
      <c r="S11" s="51" t="str">
        <f>TEXT(Input!F33*1000,"#,##0")</f>
        <v>0</v>
      </c>
      <c r="T11" s="51" t="s">
        <v>496</v>
      </c>
      <c r="U11" s="51" t="str">
        <f>CONCATENATE(U13,Q11,R11,S11,T11)</f>
        <v xml:space="preserve">WATER HEATERS ( 0 X 0 VA ) = </v>
      </c>
      <c r="AA11" s="51">
        <f t="shared" si="2"/>
        <v>9</v>
      </c>
      <c r="AB11" s="329" t="str">
        <f>IF(ISBLANK(Input!D90)=TRUE,"",Input!D90)</f>
        <v/>
      </c>
      <c r="AC11" s="331">
        <f>Input!E90</f>
        <v>0</v>
      </c>
      <c r="AD11" s="331" t="s">
        <v>76</v>
      </c>
      <c r="AE11" s="331">
        <f>Input!F90</f>
        <v>0</v>
      </c>
      <c r="AF11" s="331" t="s">
        <v>290</v>
      </c>
      <c r="AG11" s="332">
        <f>Input!Q$5</f>
        <v>120</v>
      </c>
      <c r="AH11" s="331" t="s">
        <v>415</v>
      </c>
      <c r="AI11" s="331" t="str">
        <f t="shared" si="0"/>
        <v/>
      </c>
      <c r="AJ11" s="331"/>
      <c r="AK11" s="333" t="str">
        <f t="shared" si="1"/>
        <v/>
      </c>
      <c r="AT11" s="51" t="str">
        <f>IF(AU6=1,"RANGE ( ","RANGES ( ")</f>
        <v xml:space="preserve">RANGES ( </v>
      </c>
      <c r="AU11" s="339">
        <f>IF(AU8=1,AU6,IF(AND(AU6=1,AU8="3Y"),1,AU9))</f>
        <v>0</v>
      </c>
      <c r="AV11" s="51" t="str">
        <f>IF(AND(AU6=1,AU8=1)," RANGE X ",IF(AND(AU8=1,AU6&gt;1)," RANGES X "," ON ANY 2 PHASES ) = "))</f>
        <v xml:space="preserve"> ON ANY 2 PHASES ) = </v>
      </c>
      <c r="AW11" s="51">
        <f>Tables!R13</f>
        <v>0</v>
      </c>
      <c r="AX11" s="51" t="str">
        <f>IF(AU8=1," VA ) = "," KVA")</f>
        <v xml:space="preserve"> VA ) = </v>
      </c>
      <c r="AY11" s="51">
        <f>IF(AU8=1,AW11*AU11,"")</f>
        <v>0</v>
      </c>
      <c r="BH11" s="51" t="str">
        <f>IF(ISBLANK(Input!D44)=TRUE,"",Input!D44)</f>
        <v/>
      </c>
      <c r="BI11" s="51" t="s">
        <v>291</v>
      </c>
      <c r="BJ11" s="51" t="str">
        <f>IF(Input!E44=0,"",Input!E44)</f>
        <v/>
      </c>
      <c r="BK11" s="51" t="s">
        <v>76</v>
      </c>
      <c r="BL11" s="322" t="str">
        <f>IF(ISBLANK(Input!F44)=TRUE,"",ROUND(Input!F44,0))</f>
        <v/>
      </c>
      <c r="BM11" s="51" t="s">
        <v>76</v>
      </c>
      <c r="BN11" s="322">
        <f t="shared" si="5"/>
        <v>120</v>
      </c>
      <c r="BO11" s="51" t="s">
        <v>76</v>
      </c>
      <c r="BP11" s="51">
        <f t="shared" si="4"/>
        <v>1</v>
      </c>
      <c r="BQ11" s="51" t="s">
        <v>260</v>
      </c>
      <c r="BR11" s="334" t="str">
        <f t="shared" si="3"/>
        <v/>
      </c>
      <c r="BS11" s="51" t="s">
        <v>488</v>
      </c>
    </row>
    <row r="12" spans="2:72">
      <c r="B12" s="51" t="s">
        <v>554</v>
      </c>
      <c r="D12" s="334"/>
      <c r="E12" s="369">
        <f>IF(E9&gt;3000,(E9-E11)*0.35,0)</f>
        <v>105</v>
      </c>
      <c r="G12" s="370" t="str">
        <f>AJ88</f>
        <v>(5) SPACE HEATING ( 0 VA X 40% ) = 0 VA</v>
      </c>
      <c r="H12" s="370"/>
      <c r="I12" s="370"/>
      <c r="J12" s="370"/>
      <c r="K12" s="370"/>
      <c r="L12" s="370"/>
      <c r="M12" s="370" t="str">
        <f>IF(AV97&gt;0,"&lt; &lt; LARGEST","")</f>
        <v/>
      </c>
      <c r="AA12" s="51">
        <f t="shared" si="2"/>
        <v>10</v>
      </c>
      <c r="AB12" s="329" t="str">
        <f>IF(ISBLANK(Input!D91)=TRUE,"",Input!D91)</f>
        <v/>
      </c>
      <c r="AC12" s="331">
        <f>Input!E91</f>
        <v>0</v>
      </c>
      <c r="AD12" s="331" t="s">
        <v>76</v>
      </c>
      <c r="AE12" s="331">
        <f>Input!F91</f>
        <v>0</v>
      </c>
      <c r="AF12" s="331" t="s">
        <v>290</v>
      </c>
      <c r="AG12" s="332">
        <f>Input!Q$5</f>
        <v>120</v>
      </c>
      <c r="AH12" s="331" t="s">
        <v>415</v>
      </c>
      <c r="AI12" s="331" t="str">
        <f t="shared" si="0"/>
        <v/>
      </c>
      <c r="AJ12" s="331"/>
      <c r="AK12" s="333" t="str">
        <f t="shared" si="1"/>
        <v/>
      </c>
      <c r="AT12" s="51" t="str">
        <f>AT11</f>
        <v xml:space="preserve">RANGES ( </v>
      </c>
      <c r="AU12" s="339" t="str">
        <f>TEXT(AU11,"0")</f>
        <v>0</v>
      </c>
      <c r="AV12" s="51" t="str">
        <f>AV11</f>
        <v xml:space="preserve"> ON ANY 2 PHASES ) = </v>
      </c>
      <c r="AW12" s="334" t="str">
        <f>TEXT(AW11,"#,##0")</f>
        <v>0</v>
      </c>
      <c r="AX12" s="51" t="str">
        <f>AX11</f>
        <v xml:space="preserve"> VA ) = </v>
      </c>
      <c r="BA12" s="51" t="str">
        <f>IF(AU8=1,"",CONCATENATE(AT12,AU12,AV12,AW12,AX12))</f>
        <v/>
      </c>
      <c r="BH12" s="51" t="str">
        <f>IF(ISBLANK(Input!D45)=TRUE,"",Input!D45)</f>
        <v/>
      </c>
      <c r="BI12" s="51" t="s">
        <v>291</v>
      </c>
      <c r="BJ12" s="51" t="str">
        <f>IF(Input!E45=0,"",Input!E45)</f>
        <v/>
      </c>
      <c r="BK12" s="51" t="s">
        <v>76</v>
      </c>
      <c r="BL12" s="322" t="str">
        <f>IF(ISBLANK(Input!F45)=TRUE,"",ROUND(Input!F45,0))</f>
        <v/>
      </c>
      <c r="BM12" s="51" t="s">
        <v>76</v>
      </c>
      <c r="BN12" s="322">
        <f t="shared" si="5"/>
        <v>120</v>
      </c>
      <c r="BO12" s="51" t="s">
        <v>76</v>
      </c>
      <c r="BP12" s="51">
        <f t="shared" si="4"/>
        <v>1</v>
      </c>
      <c r="BQ12" s="51" t="s">
        <v>260</v>
      </c>
      <c r="BR12" s="334" t="str">
        <f t="shared" si="3"/>
        <v/>
      </c>
      <c r="BS12" s="51" t="s">
        <v>488</v>
      </c>
    </row>
    <row r="13" spans="2:72">
      <c r="B13" s="51" t="s">
        <v>66</v>
      </c>
      <c r="D13" s="334" t="s">
        <v>555</v>
      </c>
      <c r="E13" s="338">
        <f>SUM(E11:E12)</f>
        <v>3105</v>
      </c>
      <c r="G13" s="370" t="str">
        <f>IF(S1&lt;&gt;2008,"      LESS THAN FOUR SEPARATELY CONTROLLED UNITS.","      MORE THAN FOUR SEPARATELY CONTROLLED UNITS.")</f>
        <v xml:space="preserve">      MORE THAN FOUR SEPARATELY CONTROLLED UNITS.</v>
      </c>
      <c r="H13" s="370"/>
      <c r="I13" s="370"/>
      <c r="J13" s="370"/>
      <c r="K13" s="370"/>
      <c r="L13" s="370"/>
      <c r="M13" s="370" t="s">
        <v>66</v>
      </c>
      <c r="U13" s="51" t="s">
        <v>562</v>
      </c>
      <c r="AA13" s="51">
        <f t="shared" si="2"/>
        <v>11</v>
      </c>
      <c r="AB13" s="329" t="str">
        <f>IF(ISBLANK(Input!D92)=TRUE,"",Input!D92)</f>
        <v/>
      </c>
      <c r="AC13" s="331">
        <f>Input!E92</f>
        <v>0</v>
      </c>
      <c r="AD13" s="331" t="s">
        <v>76</v>
      </c>
      <c r="AE13" s="331">
        <f>Input!F92</f>
        <v>0</v>
      </c>
      <c r="AF13" s="331" t="s">
        <v>290</v>
      </c>
      <c r="AG13" s="332">
        <f>Input!Q$5</f>
        <v>120</v>
      </c>
      <c r="AH13" s="331" t="s">
        <v>415</v>
      </c>
      <c r="AI13" s="331" t="str">
        <f t="shared" si="0"/>
        <v/>
      </c>
      <c r="AJ13" s="331"/>
      <c r="AK13" s="333" t="str">
        <f t="shared" si="1"/>
        <v/>
      </c>
      <c r="BH13" s="51" t="str">
        <f>IF(ISBLANK(Input!D46)=TRUE,"",Input!D46)</f>
        <v/>
      </c>
      <c r="BI13" s="51" t="s">
        <v>291</v>
      </c>
      <c r="BJ13" s="51" t="str">
        <f>IF(Input!E46=0,"",Input!E46)</f>
        <v/>
      </c>
      <c r="BK13" s="51" t="s">
        <v>76</v>
      </c>
      <c r="BL13" s="322" t="str">
        <f>IF(ISBLANK(Input!F46)=TRUE,"",ROUND(Input!F46,0))</f>
        <v/>
      </c>
      <c r="BM13" s="51" t="s">
        <v>76</v>
      </c>
      <c r="BN13" s="322">
        <f t="shared" si="5"/>
        <v>120</v>
      </c>
      <c r="BO13" s="51" t="s">
        <v>76</v>
      </c>
      <c r="BP13" s="51">
        <f t="shared" si="4"/>
        <v>1</v>
      </c>
      <c r="BQ13" s="51" t="s">
        <v>260</v>
      </c>
      <c r="BR13" s="334" t="str">
        <f t="shared" si="3"/>
        <v/>
      </c>
      <c r="BS13" s="51" t="s">
        <v>488</v>
      </c>
    </row>
    <row r="14" spans="2:72">
      <c r="B14" s="51" t="s">
        <v>66</v>
      </c>
      <c r="D14" s="334"/>
      <c r="E14" s="369" t="s">
        <v>66</v>
      </c>
      <c r="G14" s="370" t="str">
        <f>AJ89</f>
        <v>(6) SPACE HEATING (0 VA X 100% ) = 0 VA</v>
      </c>
      <c r="H14" s="370"/>
      <c r="I14" s="370"/>
      <c r="J14" s="370"/>
      <c r="K14" s="370"/>
      <c r="L14" s="370"/>
      <c r="M14" s="370" t="str">
        <f>IF(AV98&gt;0,"&lt; &lt; LARGEST","")</f>
        <v/>
      </c>
      <c r="AA14" s="51">
        <f t="shared" si="2"/>
        <v>12</v>
      </c>
      <c r="AB14" s="329" t="str">
        <f>IF(ISBLANK(Input!D93)=TRUE,"",Input!D93)</f>
        <v/>
      </c>
      <c r="AC14" s="331">
        <f>Input!E93</f>
        <v>0</v>
      </c>
      <c r="AD14" s="331" t="s">
        <v>76</v>
      </c>
      <c r="AE14" s="331">
        <f>Input!F93</f>
        <v>0</v>
      </c>
      <c r="AF14" s="331" t="s">
        <v>290</v>
      </c>
      <c r="AG14" s="332">
        <f>Input!Q$5</f>
        <v>120</v>
      </c>
      <c r="AH14" s="331" t="s">
        <v>415</v>
      </c>
      <c r="AI14" s="331" t="str">
        <f t="shared" si="0"/>
        <v/>
      </c>
      <c r="AJ14" s="331"/>
      <c r="AK14" s="333" t="str">
        <f t="shared" si="1"/>
        <v/>
      </c>
      <c r="AT14" s="51" t="s">
        <v>487</v>
      </c>
      <c r="AU14" s="51">
        <f>AW11</f>
        <v>0</v>
      </c>
      <c r="AV14" s="51" t="s">
        <v>497</v>
      </c>
      <c r="AW14" s="51">
        <f>AU14/2</f>
        <v>0</v>
      </c>
      <c r="AX14" s="51" t="s">
        <v>488</v>
      </c>
      <c r="BJ14" s="335">
        <f>SUM(BJ3:BJ13)</f>
        <v>1</v>
      </c>
    </row>
    <row r="15" spans="2:72">
      <c r="B15" s="370" t="str">
        <f>Tables!T11</f>
        <v>NO RANGE0 AT 0 VA EA )</v>
      </c>
      <c r="C15" s="370"/>
      <c r="D15" s="372"/>
      <c r="E15" s="371" t="s">
        <v>66</v>
      </c>
      <c r="G15" s="370" t="str">
        <f>IF(S1&lt;&gt;2008,"      MORE THAN FOUR SEPARATELY CONTROLLED UNITS.","      CONTINUOUS AT THE FULL NAMEPLATE VALUE.")</f>
        <v xml:space="preserve">      CONTINUOUS AT THE FULL NAMEPLATE VALUE.</v>
      </c>
      <c r="H15" s="370"/>
      <c r="I15" s="370"/>
      <c r="J15" s="370"/>
      <c r="K15" s="370"/>
      <c r="L15" s="370"/>
      <c r="M15" s="370" t="s">
        <v>66</v>
      </c>
      <c r="AA15" s="51">
        <f t="shared" si="2"/>
        <v>13</v>
      </c>
      <c r="AB15" s="329" t="str">
        <f>IF(ISBLANK(Input!D94)=TRUE,"",Input!D94)</f>
        <v/>
      </c>
      <c r="AC15" s="331">
        <f>Input!E94</f>
        <v>0</v>
      </c>
      <c r="AD15" s="331" t="s">
        <v>76</v>
      </c>
      <c r="AE15" s="331">
        <f>Input!F94</f>
        <v>0</v>
      </c>
      <c r="AF15" s="331" t="s">
        <v>290</v>
      </c>
      <c r="AG15" s="332">
        <f>Input!Q$5</f>
        <v>120</v>
      </c>
      <c r="AH15" s="331" t="s">
        <v>415</v>
      </c>
      <c r="AI15" s="331" t="str">
        <f t="shared" si="0"/>
        <v/>
      </c>
      <c r="AJ15" s="331"/>
      <c r="AK15" s="333" t="str">
        <f t="shared" si="1"/>
        <v/>
      </c>
      <c r="AT15" s="51" t="s">
        <v>487</v>
      </c>
      <c r="AU15" s="334" t="str">
        <f>TEXT(AU14,"#,##0")</f>
        <v>0</v>
      </c>
      <c r="AV15" s="51" t="s">
        <v>497</v>
      </c>
      <c r="AW15" s="334" t="str">
        <f>TEXT(AW14,"#,##0")</f>
        <v>0</v>
      </c>
      <c r="AX15" s="51" t="s">
        <v>488</v>
      </c>
      <c r="BA15" s="51" t="str">
        <f>IF(AU8=1,"",CONCATENATE(AT15,AU15,AV15,AW15,AX15))</f>
        <v/>
      </c>
    </row>
    <row r="16" spans="2:72">
      <c r="B16" s="370" t="str">
        <f>Tables!T14</f>
        <v>PER TABLE 220.55 ( 0 VA X 1.00 ) =  VA</v>
      </c>
      <c r="C16" s="370"/>
      <c r="D16" s="372"/>
      <c r="E16" s="371">
        <f>IF(Input!J9="3Y","",Tables!R13)</f>
        <v>0</v>
      </c>
      <c r="G16" s="370" t="s">
        <v>83</v>
      </c>
      <c r="H16" s="370"/>
      <c r="I16" s="370"/>
      <c r="J16" s="370"/>
      <c r="K16" s="370"/>
      <c r="L16" s="370"/>
      <c r="M16" s="371">
        <f>AW100</f>
        <v>4000</v>
      </c>
      <c r="AA16" s="51">
        <f t="shared" si="2"/>
        <v>14</v>
      </c>
      <c r="AB16" s="329" t="str">
        <f>IF(ISBLANK(Input!D95)=TRUE,"",Input!D95)</f>
        <v/>
      </c>
      <c r="AC16" s="331">
        <f>Input!E95</f>
        <v>0</v>
      </c>
      <c r="AD16" s="331" t="s">
        <v>76</v>
      </c>
      <c r="AE16" s="331">
        <f>Input!F95</f>
        <v>0</v>
      </c>
      <c r="AF16" s="331" t="s">
        <v>290</v>
      </c>
      <c r="AG16" s="332">
        <f>Input!Q$5</f>
        <v>120</v>
      </c>
      <c r="AH16" s="331" t="s">
        <v>415</v>
      </c>
      <c r="AI16" s="331" t="str">
        <f t="shared" si="0"/>
        <v/>
      </c>
      <c r="AJ16" s="331"/>
      <c r="AK16" s="333" t="str">
        <f t="shared" si="1"/>
        <v/>
      </c>
      <c r="BH16" s="51" t="str">
        <f>BH3</f>
        <v>WATER HEATER</v>
      </c>
      <c r="BI16" s="51" t="s">
        <v>291</v>
      </c>
      <c r="BJ16" s="65" t="str">
        <f t="shared" ref="BJ16:BJ26" si="6">TEXT(BJ3, "#,##0")</f>
        <v/>
      </c>
      <c r="BK16" s="51" t="s">
        <v>76</v>
      </c>
      <c r="BL16" s="378" t="str">
        <f>TEXT(BL3, "#,##0")</f>
        <v>0</v>
      </c>
      <c r="BM16" s="51" t="s">
        <v>556</v>
      </c>
      <c r="BP16" s="378" t="str">
        <f>TEXT(BP3, "#,##0.00")</f>
        <v>1.00</v>
      </c>
      <c r="BQ16" s="51" t="s">
        <v>260</v>
      </c>
      <c r="BR16" s="379" t="str">
        <f>TEXT(BR3, "#,##0")</f>
        <v/>
      </c>
      <c r="BS16" s="51" t="s">
        <v>488</v>
      </c>
      <c r="BT16" s="51" t="str">
        <f>IF(BJ3="","",CONCATENATE(BH16,BI16,BJ16,BK16,BL16,BM16,BN16,BO16,BP16,BQ16))</f>
        <v/>
      </c>
    </row>
    <row r="17" spans="2:72">
      <c r="B17" s="370" t="str">
        <f>BA12</f>
        <v/>
      </c>
      <c r="C17" s="370"/>
      <c r="D17" s="372"/>
      <c r="E17" s="371" t="s">
        <v>66</v>
      </c>
      <c r="G17" s="51" t="s">
        <v>66</v>
      </c>
      <c r="M17" s="51" t="s">
        <v>66</v>
      </c>
      <c r="Q17" s="51" t="s">
        <v>79</v>
      </c>
      <c r="R17" s="321">
        <f>SUM(E41:E75)</f>
        <v>17800</v>
      </c>
      <c r="AA17" s="51">
        <f t="shared" si="2"/>
        <v>15</v>
      </c>
      <c r="AB17" s="329" t="str">
        <f>IF(ISBLANK(Input!D96)=TRUE,"",Input!D96)</f>
        <v/>
      </c>
      <c r="AC17" s="331">
        <f>Input!E96</f>
        <v>0</v>
      </c>
      <c r="AD17" s="331" t="s">
        <v>76</v>
      </c>
      <c r="AE17" s="331">
        <f>Input!F96</f>
        <v>0</v>
      </c>
      <c r="AF17" s="331" t="s">
        <v>290</v>
      </c>
      <c r="AG17" s="332">
        <f>Input!Q$5</f>
        <v>120</v>
      </c>
      <c r="AH17" s="331" t="s">
        <v>415</v>
      </c>
      <c r="AI17" s="331" t="str">
        <f t="shared" si="0"/>
        <v/>
      </c>
      <c r="AJ17" s="331"/>
      <c r="AK17" s="333" t="str">
        <f t="shared" si="1"/>
        <v/>
      </c>
      <c r="AT17" s="51" t="s">
        <v>489</v>
      </c>
      <c r="AU17" s="51">
        <f>AW14</f>
        <v>0</v>
      </c>
      <c r="AV17" s="51" t="s">
        <v>498</v>
      </c>
      <c r="AX17" s="51" t="str">
        <f>IF(AU8=1,"",AU17*3)</f>
        <v/>
      </c>
      <c r="BH17" s="51" t="str">
        <f>BH4</f>
        <v>CENTRAL VAC</v>
      </c>
      <c r="BI17" s="51" t="s">
        <v>291</v>
      </c>
      <c r="BJ17" s="65" t="str">
        <f t="shared" si="6"/>
        <v>1</v>
      </c>
      <c r="BK17" s="51" t="s">
        <v>76</v>
      </c>
      <c r="BL17" s="378">
        <f>BL4</f>
        <v>12</v>
      </c>
      <c r="BM17" s="51" t="s">
        <v>290</v>
      </c>
      <c r="BN17" s="378" t="str">
        <f>TEXT(BN4, "#,##0")</f>
        <v>120</v>
      </c>
      <c r="BO17" s="51" t="s">
        <v>256</v>
      </c>
      <c r="BP17" s="378" t="str">
        <f>TEXT(BP4, "#,##0.00")</f>
        <v>1.00</v>
      </c>
      <c r="BQ17" s="51" t="s">
        <v>260</v>
      </c>
      <c r="BR17" s="379" t="str">
        <f>TEXT(BR4, "#,##0")</f>
        <v>1,440</v>
      </c>
      <c r="BS17" s="51" t="s">
        <v>488</v>
      </c>
      <c r="BT17" s="51" t="str">
        <f t="shared" ref="BT17:BT26" si="7">IF(BJ4="","",CONCATENATE(BH17,BI17,BJ17,BK17,BL17,BM17,BN17,BO17,BP17,BQ17))</f>
        <v xml:space="preserve">CENTRAL VAC ( 1 X 12 A X 120 V X 1.00 ) = </v>
      </c>
    </row>
    <row r="18" spans="2:72">
      <c r="B18" s="370" t="str">
        <f>BA15</f>
        <v/>
      </c>
      <c r="C18" s="370"/>
      <c r="D18" s="372"/>
      <c r="E18" s="371" t="s">
        <v>66</v>
      </c>
      <c r="G18" s="323" t="str">
        <f>IF(S1=2002,"NEUTRAL LOAD NEC 220.22","NEUTRAL LOAD NEC 220.61")</f>
        <v>NEUTRAL LOAD NEC 220.61</v>
      </c>
      <c r="H18" s="323"/>
      <c r="I18" s="323"/>
      <c r="J18" s="323"/>
      <c r="K18" s="323"/>
      <c r="M18" s="51" t="s">
        <v>66</v>
      </c>
      <c r="AA18" s="51">
        <f t="shared" si="2"/>
        <v>16</v>
      </c>
      <c r="AB18" s="329" t="str">
        <f>IF(ISBLANK(Input!D97)=TRUE,"",Input!D97)</f>
        <v/>
      </c>
      <c r="AC18" s="331">
        <f>Input!E97</f>
        <v>0</v>
      </c>
      <c r="AD18" s="331" t="s">
        <v>76</v>
      </c>
      <c r="AE18" s="331">
        <f>Input!F97</f>
        <v>0</v>
      </c>
      <c r="AF18" s="331" t="s">
        <v>290</v>
      </c>
      <c r="AG18" s="332">
        <f>Input!Q$5</f>
        <v>120</v>
      </c>
      <c r="AH18" s="331" t="s">
        <v>415</v>
      </c>
      <c r="AI18" s="331" t="str">
        <f t="shared" si="0"/>
        <v/>
      </c>
      <c r="AJ18" s="331"/>
      <c r="AK18" s="333" t="str">
        <f t="shared" si="1"/>
        <v/>
      </c>
      <c r="AT18" s="51" t="s">
        <v>489</v>
      </c>
      <c r="AU18" s="334" t="str">
        <f>TEXT(AU17,"#,##0")</f>
        <v>0</v>
      </c>
      <c r="AV18" s="51" t="s">
        <v>498</v>
      </c>
      <c r="BA18" s="51" t="str">
        <f>IF(AU8=1,"",CONCATENATE(AT18,AU18,AV18,AW18,AX18))</f>
        <v/>
      </c>
      <c r="BH18" s="51" t="str">
        <f t="shared" ref="BH18:BH26" si="8">BH5</f>
        <v/>
      </c>
      <c r="BI18" s="51" t="s">
        <v>291</v>
      </c>
      <c r="BJ18" s="65" t="str">
        <f t="shared" si="6"/>
        <v/>
      </c>
      <c r="BK18" s="51" t="s">
        <v>76</v>
      </c>
      <c r="BL18" s="378" t="str">
        <f t="shared" ref="BL18:BL26" si="9">BL5</f>
        <v/>
      </c>
      <c r="BM18" s="51" t="s">
        <v>290</v>
      </c>
      <c r="BN18" s="378" t="str">
        <f t="shared" ref="BN18:BN26" si="10">TEXT(BN5, "#,##0")</f>
        <v>120</v>
      </c>
      <c r="BO18" s="51" t="s">
        <v>256</v>
      </c>
      <c r="BP18" s="378" t="str">
        <f t="shared" ref="BP18:BP26" si="11">TEXT(BP5, "#,##0.00")</f>
        <v>1.00</v>
      </c>
      <c r="BQ18" s="51" t="s">
        <v>260</v>
      </c>
      <c r="BR18" s="379" t="str">
        <f t="shared" ref="BR18:BR26" si="12">TEXT(BR5, "#,##0")</f>
        <v/>
      </c>
      <c r="BS18" s="51" t="s">
        <v>488</v>
      </c>
      <c r="BT18" s="51" t="str">
        <f t="shared" si="7"/>
        <v/>
      </c>
    </row>
    <row r="19" spans="2:72">
      <c r="B19" s="370" t="str">
        <f>BA18</f>
        <v/>
      </c>
      <c r="C19" s="370"/>
      <c r="D19" s="372"/>
      <c r="E19" s="371" t="str">
        <f>AX17</f>
        <v/>
      </c>
      <c r="G19" s="51" t="str">
        <f>B6</f>
        <v xml:space="preserve">TOTAL SQ FOOTAGE ( 600 SQ FT X 3 VA ) = </v>
      </c>
      <c r="L19" s="334"/>
      <c r="M19" s="321">
        <f>E6</f>
        <v>1800</v>
      </c>
      <c r="V19" s="335"/>
      <c r="AA19" s="51">
        <f t="shared" si="2"/>
        <v>17</v>
      </c>
      <c r="AB19" s="329" t="str">
        <f>IF(ISBLANK(Input!D98)=TRUE,"",Input!D98)</f>
        <v/>
      </c>
      <c r="AC19" s="331">
        <f>Input!E98</f>
        <v>0</v>
      </c>
      <c r="AD19" s="331" t="s">
        <v>76</v>
      </c>
      <c r="AE19" s="331">
        <f>Input!F98</f>
        <v>0</v>
      </c>
      <c r="AF19" s="331" t="s">
        <v>290</v>
      </c>
      <c r="AG19" s="332">
        <f>Input!Q$5</f>
        <v>120</v>
      </c>
      <c r="AH19" s="331" t="s">
        <v>415</v>
      </c>
      <c r="AI19" s="331" t="str">
        <f t="shared" si="0"/>
        <v/>
      </c>
      <c r="AJ19" s="331"/>
      <c r="AK19" s="333" t="str">
        <f t="shared" si="1"/>
        <v/>
      </c>
      <c r="BH19" s="51" t="str">
        <f t="shared" si="8"/>
        <v/>
      </c>
      <c r="BI19" s="51" t="s">
        <v>291</v>
      </c>
      <c r="BJ19" s="65" t="str">
        <f t="shared" si="6"/>
        <v/>
      </c>
      <c r="BK19" s="51" t="s">
        <v>76</v>
      </c>
      <c r="BL19" s="378" t="str">
        <f t="shared" si="9"/>
        <v/>
      </c>
      <c r="BM19" s="51" t="s">
        <v>290</v>
      </c>
      <c r="BN19" s="378" t="str">
        <f t="shared" si="10"/>
        <v>120</v>
      </c>
      <c r="BO19" s="51" t="s">
        <v>256</v>
      </c>
      <c r="BP19" s="378" t="str">
        <f t="shared" si="11"/>
        <v>1.00</v>
      </c>
      <c r="BQ19" s="51" t="s">
        <v>260</v>
      </c>
      <c r="BR19" s="379" t="str">
        <f t="shared" si="12"/>
        <v/>
      </c>
      <c r="BS19" s="51" t="s">
        <v>488</v>
      </c>
      <c r="BT19" s="51" t="str">
        <f t="shared" si="7"/>
        <v/>
      </c>
    </row>
    <row r="20" spans="2:72">
      <c r="B20" s="51" t="s">
        <v>66</v>
      </c>
      <c r="D20" s="334"/>
      <c r="E20" s="321" t="s">
        <v>66</v>
      </c>
      <c r="G20" s="51" t="str">
        <f>B7</f>
        <v xml:space="preserve">APPLIANCE CIRCUITS ( 0 X 1,500 VA ) = </v>
      </c>
      <c r="L20" s="334"/>
      <c r="M20" s="321">
        <f>E7</f>
        <v>0</v>
      </c>
      <c r="AA20" s="51">
        <f t="shared" si="2"/>
        <v>18</v>
      </c>
      <c r="AB20" s="329" t="str">
        <f>IF(ISBLANK(Input!D99)=TRUE,"",Input!D99)</f>
        <v/>
      </c>
      <c r="AC20" s="331">
        <f>Input!E99</f>
        <v>0</v>
      </c>
      <c r="AD20" s="331" t="s">
        <v>76</v>
      </c>
      <c r="AE20" s="331">
        <f>Input!F99</f>
        <v>0</v>
      </c>
      <c r="AF20" s="331" t="s">
        <v>290</v>
      </c>
      <c r="AG20" s="332">
        <f>Input!Q$5</f>
        <v>120</v>
      </c>
      <c r="AH20" s="331" t="s">
        <v>415</v>
      </c>
      <c r="AI20" s="331" t="str">
        <f t="shared" si="0"/>
        <v/>
      </c>
      <c r="AJ20" s="331"/>
      <c r="AK20" s="333" t="str">
        <f t="shared" si="1"/>
        <v/>
      </c>
      <c r="BH20" s="51" t="str">
        <f t="shared" si="8"/>
        <v/>
      </c>
      <c r="BI20" s="51" t="s">
        <v>291</v>
      </c>
      <c r="BJ20" s="65" t="str">
        <f t="shared" si="6"/>
        <v/>
      </c>
      <c r="BK20" s="51" t="s">
        <v>76</v>
      </c>
      <c r="BL20" s="378" t="str">
        <f t="shared" si="9"/>
        <v/>
      </c>
      <c r="BM20" s="51" t="s">
        <v>290</v>
      </c>
      <c r="BN20" s="378" t="str">
        <f t="shared" si="10"/>
        <v>120</v>
      </c>
      <c r="BO20" s="51" t="s">
        <v>256</v>
      </c>
      <c r="BP20" s="378" t="str">
        <f t="shared" si="11"/>
        <v>1.00</v>
      </c>
      <c r="BQ20" s="51" t="s">
        <v>260</v>
      </c>
      <c r="BR20" s="379" t="str">
        <f t="shared" si="12"/>
        <v/>
      </c>
      <c r="BS20" s="51" t="s">
        <v>488</v>
      </c>
      <c r="BT20" s="51" t="str">
        <f t="shared" si="7"/>
        <v/>
      </c>
    </row>
    <row r="21" spans="2:72">
      <c r="B21" s="370" t="str">
        <f>Tables!V53</f>
        <v>DRYER ( 1 AT 5,000 VA )</v>
      </c>
      <c r="C21" s="370"/>
      <c r="D21" s="372"/>
      <c r="E21" s="371" t="s">
        <v>66</v>
      </c>
      <c r="G21" s="51" t="str">
        <f>B8</f>
        <v xml:space="preserve">LAUNDRY CIRCUITS ( 1 X 1,500 VA ) = </v>
      </c>
      <c r="L21" s="334"/>
      <c r="M21" s="321">
        <f>E8</f>
        <v>1500</v>
      </c>
      <c r="V21" s="49"/>
      <c r="AA21" s="51">
        <f t="shared" si="2"/>
        <v>19</v>
      </c>
      <c r="AB21" s="329" t="str">
        <f>IF(ISBLANK(Input!D100)=TRUE,"",Input!D100)</f>
        <v/>
      </c>
      <c r="AC21" s="331">
        <f>Input!E100</f>
        <v>0</v>
      </c>
      <c r="AD21" s="331" t="s">
        <v>76</v>
      </c>
      <c r="AE21" s="331">
        <f>Input!F100</f>
        <v>0</v>
      </c>
      <c r="AF21" s="331" t="s">
        <v>290</v>
      </c>
      <c r="AG21" s="332">
        <f>Input!Q$5</f>
        <v>120</v>
      </c>
      <c r="AH21" s="331" t="s">
        <v>415</v>
      </c>
      <c r="AI21" s="331" t="str">
        <f t="shared" si="0"/>
        <v/>
      </c>
      <c r="AJ21" s="331"/>
      <c r="AK21" s="333" t="str">
        <f t="shared" si="1"/>
        <v/>
      </c>
      <c r="BH21" s="51" t="str">
        <f t="shared" si="8"/>
        <v/>
      </c>
      <c r="BI21" s="51" t="s">
        <v>291</v>
      </c>
      <c r="BJ21" s="65" t="str">
        <f t="shared" si="6"/>
        <v/>
      </c>
      <c r="BK21" s="51" t="s">
        <v>76</v>
      </c>
      <c r="BL21" s="378" t="str">
        <f t="shared" si="9"/>
        <v/>
      </c>
      <c r="BM21" s="51" t="s">
        <v>290</v>
      </c>
      <c r="BN21" s="378" t="str">
        <f t="shared" si="10"/>
        <v>120</v>
      </c>
      <c r="BO21" s="51" t="s">
        <v>256</v>
      </c>
      <c r="BP21" s="378" t="str">
        <f t="shared" si="11"/>
        <v>1.00</v>
      </c>
      <c r="BQ21" s="51" t="s">
        <v>260</v>
      </c>
      <c r="BR21" s="379" t="str">
        <f t="shared" si="12"/>
        <v/>
      </c>
      <c r="BS21" s="51" t="s">
        <v>488</v>
      </c>
      <c r="BT21" s="51" t="str">
        <f t="shared" si="7"/>
        <v/>
      </c>
    </row>
    <row r="22" spans="2:72">
      <c r="B22" s="370" t="str">
        <f>Tables!V55</f>
        <v xml:space="preserve">PER TABLE 220.54 ( 1 X 5,000 X 1.00 ) = </v>
      </c>
      <c r="C22" s="370"/>
      <c r="D22" s="372"/>
      <c r="E22" s="371">
        <f>IF(Input!J9="3Y","",Tables!T54)</f>
        <v>5000</v>
      </c>
      <c r="G22" s="51" t="s">
        <v>20</v>
      </c>
      <c r="M22" s="338">
        <f>SUM(M19:M21)</f>
        <v>3300</v>
      </c>
      <c r="O22" s="321"/>
      <c r="AA22" s="51">
        <f t="shared" si="2"/>
        <v>20</v>
      </c>
      <c r="AB22" s="329" t="str">
        <f>IF(ISBLANK(Input!D101)=TRUE,"",Input!D101)</f>
        <v/>
      </c>
      <c r="AC22" s="331">
        <f>Input!E101</f>
        <v>0</v>
      </c>
      <c r="AD22" s="331" t="s">
        <v>76</v>
      </c>
      <c r="AE22" s="331">
        <f>Input!F101</f>
        <v>0</v>
      </c>
      <c r="AF22" s="331" t="s">
        <v>290</v>
      </c>
      <c r="AG22" s="332">
        <f>Input!Q$5</f>
        <v>120</v>
      </c>
      <c r="AH22" s="331" t="s">
        <v>415</v>
      </c>
      <c r="AI22" s="331" t="str">
        <f t="shared" si="0"/>
        <v/>
      </c>
      <c r="AJ22" s="331"/>
      <c r="AK22" s="333" t="str">
        <f t="shared" si="1"/>
        <v/>
      </c>
      <c r="BH22" s="51" t="str">
        <f t="shared" si="8"/>
        <v/>
      </c>
      <c r="BI22" s="51" t="s">
        <v>291</v>
      </c>
      <c r="BJ22" s="65" t="str">
        <f t="shared" si="6"/>
        <v/>
      </c>
      <c r="BK22" s="51" t="s">
        <v>76</v>
      </c>
      <c r="BL22" s="378" t="str">
        <f t="shared" si="9"/>
        <v/>
      </c>
      <c r="BM22" s="51" t="s">
        <v>290</v>
      </c>
      <c r="BN22" s="378" t="str">
        <f t="shared" si="10"/>
        <v>120</v>
      </c>
      <c r="BO22" s="51" t="s">
        <v>256</v>
      </c>
      <c r="BP22" s="378" t="str">
        <f t="shared" si="11"/>
        <v>1.00</v>
      </c>
      <c r="BQ22" s="51" t="s">
        <v>260</v>
      </c>
      <c r="BR22" s="379" t="str">
        <f t="shared" si="12"/>
        <v/>
      </c>
      <c r="BS22" s="51" t="s">
        <v>488</v>
      </c>
      <c r="BT22" s="51" t="str">
        <f t="shared" si="7"/>
        <v/>
      </c>
    </row>
    <row r="23" spans="2:72">
      <c r="B23" s="370" t="str">
        <f>BA30</f>
        <v/>
      </c>
      <c r="C23" s="370"/>
      <c r="D23" s="372"/>
      <c r="E23" s="371" t="s">
        <v>66</v>
      </c>
      <c r="G23" s="51" t="s">
        <v>66</v>
      </c>
      <c r="M23" s="51" t="s">
        <v>66</v>
      </c>
      <c r="AA23" s="51">
        <f t="shared" si="2"/>
        <v>21</v>
      </c>
      <c r="AB23" s="329" t="str">
        <f>IF(ISBLANK(Input!D102)=TRUE,"",Input!D102)</f>
        <v/>
      </c>
      <c r="AC23" s="331">
        <f>Input!E102</f>
        <v>0</v>
      </c>
      <c r="AD23" s="331" t="s">
        <v>76</v>
      </c>
      <c r="AE23" s="331">
        <f>Input!F102</f>
        <v>0</v>
      </c>
      <c r="AF23" s="331" t="s">
        <v>290</v>
      </c>
      <c r="AG23" s="332">
        <f>Input!Q$5</f>
        <v>120</v>
      </c>
      <c r="AH23" s="331" t="s">
        <v>415</v>
      </c>
      <c r="AI23" s="331" t="str">
        <f t="shared" si="0"/>
        <v/>
      </c>
      <c r="AJ23" s="331"/>
      <c r="AK23" s="333" t="str">
        <f t="shared" si="1"/>
        <v/>
      </c>
      <c r="BH23" s="51" t="str">
        <f t="shared" si="8"/>
        <v/>
      </c>
      <c r="BI23" s="51" t="s">
        <v>291</v>
      </c>
      <c r="BJ23" s="65" t="str">
        <f t="shared" si="6"/>
        <v/>
      </c>
      <c r="BK23" s="51" t="s">
        <v>76</v>
      </c>
      <c r="BL23" s="378" t="str">
        <f t="shared" si="9"/>
        <v/>
      </c>
      <c r="BM23" s="51" t="s">
        <v>290</v>
      </c>
      <c r="BN23" s="378" t="str">
        <f t="shared" si="10"/>
        <v>120</v>
      </c>
      <c r="BO23" s="51" t="s">
        <v>256</v>
      </c>
      <c r="BP23" s="378" t="str">
        <f t="shared" si="11"/>
        <v>1.00</v>
      </c>
      <c r="BQ23" s="51" t="s">
        <v>260</v>
      </c>
      <c r="BR23" s="379" t="str">
        <f t="shared" si="12"/>
        <v/>
      </c>
      <c r="BS23" s="51" t="s">
        <v>488</v>
      </c>
      <c r="BT23" s="51" t="str">
        <f t="shared" si="7"/>
        <v/>
      </c>
    </row>
    <row r="24" spans="2:72">
      <c r="B24" s="370" t="str">
        <f>BA33</f>
        <v/>
      </c>
      <c r="C24" s="370"/>
      <c r="D24" s="372"/>
      <c r="E24" s="371" t="s">
        <v>66</v>
      </c>
      <c r="G24" s="51" t="str">
        <f>AJ96</f>
        <v xml:space="preserve">FIRST 3,000 VA @ 100% ( 3,000 VA X 1.00 ) = </v>
      </c>
      <c r="L24" s="334"/>
      <c r="M24" s="321">
        <f>AB96</f>
        <v>3000</v>
      </c>
      <c r="V24" s="339"/>
      <c r="AA24" s="51">
        <f t="shared" si="2"/>
        <v>22</v>
      </c>
      <c r="AB24" s="329" t="str">
        <f>IF(ISBLANK(Input!D103)=TRUE,"",Input!D103)</f>
        <v/>
      </c>
      <c r="AC24" s="331">
        <f>Input!E103</f>
        <v>0</v>
      </c>
      <c r="AD24" s="331" t="s">
        <v>76</v>
      </c>
      <c r="AE24" s="331">
        <f>Input!F103</f>
        <v>0</v>
      </c>
      <c r="AF24" s="331" t="s">
        <v>290</v>
      </c>
      <c r="AG24" s="332">
        <f>Input!Q$5</f>
        <v>120</v>
      </c>
      <c r="AH24" s="331" t="s">
        <v>415</v>
      </c>
      <c r="AI24" s="331" t="str">
        <f t="shared" si="0"/>
        <v/>
      </c>
      <c r="AJ24" s="331"/>
      <c r="AK24" s="333" t="str">
        <f t="shared" si="1"/>
        <v/>
      </c>
      <c r="AT24" s="51" t="s">
        <v>58</v>
      </c>
      <c r="AU24" s="335">
        <f>Input!E32</f>
        <v>1</v>
      </c>
      <c r="BH24" s="51" t="str">
        <f t="shared" si="8"/>
        <v/>
      </c>
      <c r="BI24" s="51" t="s">
        <v>291</v>
      </c>
      <c r="BJ24" s="65" t="str">
        <f t="shared" si="6"/>
        <v/>
      </c>
      <c r="BK24" s="51" t="s">
        <v>76</v>
      </c>
      <c r="BL24" s="378" t="str">
        <f t="shared" si="9"/>
        <v/>
      </c>
      <c r="BM24" s="51" t="s">
        <v>290</v>
      </c>
      <c r="BN24" s="378" t="str">
        <f t="shared" si="10"/>
        <v>120</v>
      </c>
      <c r="BO24" s="51" t="s">
        <v>256</v>
      </c>
      <c r="BP24" s="378" t="str">
        <f t="shared" si="11"/>
        <v>1.00</v>
      </c>
      <c r="BQ24" s="51" t="s">
        <v>260</v>
      </c>
      <c r="BR24" s="379" t="str">
        <f t="shared" si="12"/>
        <v/>
      </c>
      <c r="BS24" s="51" t="s">
        <v>488</v>
      </c>
      <c r="BT24" s="51" t="str">
        <f t="shared" si="7"/>
        <v/>
      </c>
    </row>
    <row r="25" spans="2:72">
      <c r="B25" s="370" t="str">
        <f>BA36</f>
        <v/>
      </c>
      <c r="C25" s="370"/>
      <c r="D25" s="372"/>
      <c r="E25" s="371" t="str">
        <f>AX35</f>
        <v/>
      </c>
      <c r="G25" s="51" t="str">
        <f>AJ98</f>
        <v xml:space="preserve">3,000-120,000 VA @ 35% ( 300 VA X 0.35 ) = </v>
      </c>
      <c r="L25" s="334"/>
      <c r="M25" s="321">
        <f>AK98</f>
        <v>105</v>
      </c>
      <c r="AA25" s="51">
        <f t="shared" si="2"/>
        <v>23</v>
      </c>
      <c r="AB25" s="329" t="str">
        <f>IF(ISBLANK(Input!D104)=TRUE,"",Input!D104)</f>
        <v/>
      </c>
      <c r="AC25" s="331">
        <f>Input!E104</f>
        <v>0</v>
      </c>
      <c r="AD25" s="331" t="s">
        <v>76</v>
      </c>
      <c r="AE25" s="331">
        <f>Input!F104</f>
        <v>0</v>
      </c>
      <c r="AF25" s="331" t="s">
        <v>290</v>
      </c>
      <c r="AG25" s="332">
        <f>Input!Q$5</f>
        <v>120</v>
      </c>
      <c r="AH25" s="331" t="s">
        <v>415</v>
      </c>
      <c r="AI25" s="331" t="str">
        <f t="shared" si="0"/>
        <v/>
      </c>
      <c r="AJ25" s="331"/>
      <c r="AK25" s="333" t="str">
        <f t="shared" si="1"/>
        <v/>
      </c>
      <c r="AT25" s="51" t="s">
        <v>133</v>
      </c>
      <c r="AU25" s="51">
        <f>Input!F32</f>
        <v>5</v>
      </c>
      <c r="BH25" s="51" t="str">
        <f t="shared" si="8"/>
        <v/>
      </c>
      <c r="BI25" s="51" t="s">
        <v>291</v>
      </c>
      <c r="BJ25" s="65" t="str">
        <f t="shared" si="6"/>
        <v/>
      </c>
      <c r="BK25" s="51" t="s">
        <v>76</v>
      </c>
      <c r="BL25" s="378" t="str">
        <f t="shared" si="9"/>
        <v/>
      </c>
      <c r="BM25" s="51" t="s">
        <v>290</v>
      </c>
      <c r="BN25" s="378" t="str">
        <f t="shared" si="10"/>
        <v>120</v>
      </c>
      <c r="BO25" s="51" t="s">
        <v>256</v>
      </c>
      <c r="BP25" s="378" t="str">
        <f t="shared" si="11"/>
        <v>1.00</v>
      </c>
      <c r="BQ25" s="51" t="s">
        <v>260</v>
      </c>
      <c r="BR25" s="379" t="str">
        <f t="shared" si="12"/>
        <v/>
      </c>
      <c r="BS25" s="51" t="s">
        <v>488</v>
      </c>
      <c r="BT25" s="51" t="str">
        <f t="shared" si="7"/>
        <v/>
      </c>
    </row>
    <row r="26" spans="2:72">
      <c r="B26" s="51" t="s">
        <v>66</v>
      </c>
      <c r="D26" s="334"/>
      <c r="E26" s="321" t="s">
        <v>66</v>
      </c>
      <c r="G26" s="51" t="str">
        <f>AJ100</f>
        <v xml:space="preserve">OVER 120,000 VA @ 25% ( 0 VA X 0.25 ) = </v>
      </c>
      <c r="L26" s="334"/>
      <c r="M26" s="321">
        <f>AK100</f>
        <v>0</v>
      </c>
      <c r="AA26" s="51">
        <f t="shared" si="2"/>
        <v>24</v>
      </c>
      <c r="AB26" s="329" t="str">
        <f>IF(ISBLANK(Input!D105)=TRUE,"",Input!D105)</f>
        <v/>
      </c>
      <c r="AC26" s="331">
        <f>Input!E105</f>
        <v>0</v>
      </c>
      <c r="AD26" s="331" t="s">
        <v>76</v>
      </c>
      <c r="AE26" s="331">
        <f>Input!F105</f>
        <v>0</v>
      </c>
      <c r="AF26" s="331" t="s">
        <v>290</v>
      </c>
      <c r="AG26" s="332">
        <f>Input!Q$5</f>
        <v>120</v>
      </c>
      <c r="AH26" s="331" t="s">
        <v>415</v>
      </c>
      <c r="AI26" s="331" t="str">
        <f t="shared" si="0"/>
        <v/>
      </c>
      <c r="AJ26" s="331"/>
      <c r="AK26" s="333" t="str">
        <f t="shared" si="1"/>
        <v/>
      </c>
      <c r="AT26" s="51" t="s">
        <v>77</v>
      </c>
      <c r="AU26" s="49">
        <f>Input!J9</f>
        <v>1</v>
      </c>
      <c r="BH26" s="51" t="str">
        <f t="shared" si="8"/>
        <v/>
      </c>
      <c r="BI26" s="51" t="s">
        <v>291</v>
      </c>
      <c r="BJ26" s="65" t="str">
        <f t="shared" si="6"/>
        <v/>
      </c>
      <c r="BK26" s="51" t="s">
        <v>76</v>
      </c>
      <c r="BL26" s="378" t="str">
        <f t="shared" si="9"/>
        <v/>
      </c>
      <c r="BM26" s="51" t="s">
        <v>290</v>
      </c>
      <c r="BN26" s="378" t="str">
        <f t="shared" si="10"/>
        <v>120</v>
      </c>
      <c r="BO26" s="51" t="s">
        <v>256</v>
      </c>
      <c r="BP26" s="378" t="str">
        <f t="shared" si="11"/>
        <v>1.00</v>
      </c>
      <c r="BQ26" s="51" t="s">
        <v>260</v>
      </c>
      <c r="BR26" s="379" t="str">
        <f t="shared" si="12"/>
        <v/>
      </c>
      <c r="BS26" s="51" t="s">
        <v>488</v>
      </c>
      <c r="BT26" s="51" t="str">
        <f t="shared" si="7"/>
        <v/>
      </c>
    </row>
    <row r="27" spans="2:72">
      <c r="B27" s="375" t="str">
        <f>IF(S1&lt;&gt;2002,"APPLIANCES FASTENED IN PLACE NEC SECTION 220.53","APPLIANCES FASTENED IN PLACE NEC SECTION 220.17")</f>
        <v>APPLIANCES FASTENED IN PLACE NEC SECTION 220.53</v>
      </c>
      <c r="C27" s="370"/>
      <c r="D27" s="372"/>
      <c r="E27" s="371" t="s">
        <v>66</v>
      </c>
      <c r="G27" s="51" t="s">
        <v>18</v>
      </c>
      <c r="M27" s="338">
        <f>SUM(M24:M26)</f>
        <v>3105</v>
      </c>
      <c r="AA27" s="51">
        <f t="shared" si="2"/>
        <v>25</v>
      </c>
      <c r="AB27" s="343" t="str">
        <f>IF(ISBLANK(Input!D109)=TRUE,"",Input!D109)</f>
        <v>PUMP</v>
      </c>
      <c r="AC27" s="344">
        <f>Input!E109</f>
        <v>2</v>
      </c>
      <c r="AD27" s="345" t="s">
        <v>76</v>
      </c>
      <c r="AE27" s="345">
        <f>Input!F109</f>
        <v>21</v>
      </c>
      <c r="AF27" s="345" t="str">
        <f>IF(OR(Input!J$9=1,Input!H109=1)," A X "," A X 1.732 X ")</f>
        <v xml:space="preserve"> A X </v>
      </c>
      <c r="AG27" s="346">
        <f>Input!Q$4</f>
        <v>240</v>
      </c>
      <c r="AH27" s="345" t="s">
        <v>415</v>
      </c>
      <c r="AI27" s="345" t="str">
        <f t="shared" si="0"/>
        <v xml:space="preserve">PUMP ( 2 X 21 A X 240 V ) = </v>
      </c>
      <c r="AJ27" s="345"/>
      <c r="AK27" s="347">
        <f>IF(AC27=0,"",IF(OR(Input!J$9=1,Input!H109=1),ROUND((AC27*AE27*AG27),0),ROUND((AC27*AE27*AG27*1.732),0)))</f>
        <v>10080</v>
      </c>
      <c r="AT27" s="51" t="s">
        <v>490</v>
      </c>
      <c r="AU27" s="51">
        <f>CEILING(AU24/3,1)*2</f>
        <v>2</v>
      </c>
      <c r="AY27" s="51">
        <f>AW29*AU29</f>
        <v>5000</v>
      </c>
      <c r="BJ27" s="65"/>
    </row>
    <row r="28" spans="2:72">
      <c r="B28" s="370" t="str">
        <f t="shared" ref="B28:B38" si="13">BT16</f>
        <v/>
      </c>
      <c r="C28" s="370"/>
      <c r="D28" s="372"/>
      <c r="E28" s="371" t="str">
        <f>BR3</f>
        <v/>
      </c>
      <c r="G28" s="51" t="s">
        <v>66</v>
      </c>
      <c r="M28" s="51" t="s">
        <v>66</v>
      </c>
      <c r="Q28" s="51" t="s">
        <v>512</v>
      </c>
      <c r="R28" s="50">
        <f>M44</f>
        <v>37</v>
      </c>
      <c r="S28" s="51" t="s">
        <v>513</v>
      </c>
      <c r="AA28" s="51">
        <f t="shared" si="2"/>
        <v>26</v>
      </c>
      <c r="AB28" s="343" t="str">
        <f>IF(ISBLANK(Input!D110)=TRUE,"",Input!D110)</f>
        <v/>
      </c>
      <c r="AC28" s="345">
        <f>Input!E110</f>
        <v>0</v>
      </c>
      <c r="AD28" s="345" t="s">
        <v>76</v>
      </c>
      <c r="AE28" s="345">
        <f>Input!F110</f>
        <v>0</v>
      </c>
      <c r="AF28" s="345" t="str">
        <f>IF(OR(Input!J$9=1,Input!H110=1)," A X "," A X 1.732 X ")</f>
        <v xml:space="preserve"> A X </v>
      </c>
      <c r="AG28" s="346">
        <f>Input!Q$4</f>
        <v>240</v>
      </c>
      <c r="AH28" s="345" t="s">
        <v>415</v>
      </c>
      <c r="AI28" s="345" t="str">
        <f t="shared" si="0"/>
        <v/>
      </c>
      <c r="AJ28" s="345"/>
      <c r="AK28" s="347" t="str">
        <f>IF(AC28=0,"",IF(OR(Input!J$9=1,Input!H110=1),ROUND((AC28*AE28*AG28),0),ROUND((AC28*AE28*AG28*1.732),0)))</f>
        <v/>
      </c>
      <c r="BJ28" s="65"/>
    </row>
    <row r="29" spans="2:72">
      <c r="B29" s="370" t="str">
        <f t="shared" si="13"/>
        <v xml:space="preserve">CENTRAL VAC ( 1 X 12 A X 120 V X 1.00 ) = </v>
      </c>
      <c r="C29" s="370"/>
      <c r="D29" s="372"/>
      <c r="E29" s="371">
        <f>BR4</f>
        <v>1440</v>
      </c>
      <c r="G29" s="340" t="s">
        <v>545</v>
      </c>
      <c r="H29" s="340"/>
      <c r="I29" s="340"/>
      <c r="J29" s="340"/>
      <c r="K29" s="340"/>
      <c r="L29" s="340"/>
      <c r="M29" s="340" t="s">
        <v>66</v>
      </c>
      <c r="Q29" s="51" t="s">
        <v>512</v>
      </c>
      <c r="R29" s="334" t="str">
        <f>TEXT(R28,"#,##0")</f>
        <v>37</v>
      </c>
      <c r="S29" s="51" t="s">
        <v>513</v>
      </c>
      <c r="T29" s="51" t="str">
        <f>CONCATENATE(Q29,R29,S29)</f>
        <v>FIRST 200 A @ 100% (37 A X 1.00 ) =</v>
      </c>
      <c r="AA29" s="51">
        <f t="shared" si="2"/>
        <v>27</v>
      </c>
      <c r="AB29" s="343" t="str">
        <f>IF(ISBLANK(Input!D111)=TRUE,"",Input!D111)</f>
        <v/>
      </c>
      <c r="AC29" s="345">
        <f>Input!E111</f>
        <v>0</v>
      </c>
      <c r="AD29" s="345" t="s">
        <v>76</v>
      </c>
      <c r="AE29" s="345">
        <f>Input!F111</f>
        <v>0</v>
      </c>
      <c r="AF29" s="345" t="str">
        <f>IF(OR(Input!J$9=1,Input!H111=1)," A X "," A X 1.732 X ")</f>
        <v xml:space="preserve"> A X </v>
      </c>
      <c r="AG29" s="346">
        <f>Input!Q$4</f>
        <v>240</v>
      </c>
      <c r="AH29" s="345" t="s">
        <v>415</v>
      </c>
      <c r="AI29" s="345" t="str">
        <f t="shared" si="0"/>
        <v/>
      </c>
      <c r="AJ29" s="345"/>
      <c r="AK29" s="347" t="str">
        <f>IF(AC29=0,"",IF(OR(Input!J$9=1,Input!H111=1),ROUND((AC29*AE29*AG29),0),ROUND((AC29*AE29*AG29*1.732),0)))</f>
        <v/>
      </c>
      <c r="AT29" s="51" t="str">
        <f>IF(AU24=1,"DRYER ( ","DRYERS ( ")</f>
        <v xml:space="preserve">DRYER ( </v>
      </c>
      <c r="AU29" s="339">
        <f>IF(AU26=1,AU24,IF(AND(AU24=1,AU26="3Y"),1,AU27))</f>
        <v>1</v>
      </c>
      <c r="AV29" s="51" t="str">
        <f>IF(AND(AU24=1,AU26=1)," RANGE X ",IF(AND(AU26=1,AU24&gt;1)," RANGES X "," ON ANY 2 PHASES ) = "))</f>
        <v xml:space="preserve"> RANGE X </v>
      </c>
      <c r="AW29" s="51">
        <f>IF(AU26=1,AU25*1000,AU29*AU25*1000)</f>
        <v>5000</v>
      </c>
      <c r="AX29" s="51" t="str">
        <f>IF(AU26=1," VA ) = "," KVA")</f>
        <v xml:space="preserve"> VA ) = </v>
      </c>
      <c r="AY29" s="51">
        <f>IF(AU26=1,AW29*AU29,"")</f>
        <v>5000</v>
      </c>
    </row>
    <row r="30" spans="2:72">
      <c r="B30" s="370" t="str">
        <f t="shared" si="13"/>
        <v/>
      </c>
      <c r="C30" s="370"/>
      <c r="D30" s="372"/>
      <c r="E30" s="371" t="str">
        <f t="shared" ref="E30:E38" si="14">BR5</f>
        <v/>
      </c>
      <c r="G30" s="340" t="str">
        <f>IF(AND(S1=2002,Input!J9="3Y"),"PROHIBITED REDUCTION - 220.22",IF(AND(S1&lt;&gt;2002,Input!J9="3Y"),"PROHIBITED REDUCTION - 220.61(C)(1)",IF(S1=2002,"TABLE 220.19 COLUMN C","TABLE 220.55 COLUMN C")))</f>
        <v>TABLE 220.55 COLUMN C</v>
      </c>
      <c r="H30" s="340"/>
      <c r="I30" s="340"/>
      <c r="J30" s="340"/>
      <c r="K30" s="340"/>
      <c r="L30" s="340"/>
      <c r="M30" s="340" t="s">
        <v>66</v>
      </c>
      <c r="AA30" s="51">
        <f t="shared" si="2"/>
        <v>28</v>
      </c>
      <c r="AB30" s="343" t="str">
        <f>IF(ISBLANK(Input!D112)=TRUE,"",Input!D112)</f>
        <v/>
      </c>
      <c r="AC30" s="345">
        <f>Input!E112</f>
        <v>0</v>
      </c>
      <c r="AD30" s="345" t="s">
        <v>76</v>
      </c>
      <c r="AE30" s="345">
        <f>Input!F112</f>
        <v>0</v>
      </c>
      <c r="AF30" s="345" t="str">
        <f>IF(OR(Input!J$9=1,Input!H112=1)," A X "," A X 1.732 X ")</f>
        <v xml:space="preserve"> A X </v>
      </c>
      <c r="AG30" s="346">
        <f>Input!Q$4</f>
        <v>240</v>
      </c>
      <c r="AH30" s="345" t="s">
        <v>415</v>
      </c>
      <c r="AI30" s="345" t="str">
        <f t="shared" si="0"/>
        <v/>
      </c>
      <c r="AJ30" s="345"/>
      <c r="AK30" s="347" t="str">
        <f>IF(AC30=0,"",IF(OR(Input!J$9=1,Input!H112=1),ROUND((AC30*AE30*AG30),0),ROUND((AC30*AE30*AG30*1.732),0)))</f>
        <v/>
      </c>
      <c r="AT30" s="51" t="str">
        <f>AT29</f>
        <v xml:space="preserve">DRYER ( </v>
      </c>
      <c r="AU30" s="339" t="str">
        <f>TEXT(AU29,"0")</f>
        <v>1</v>
      </c>
      <c r="AV30" s="51" t="str">
        <f>AV29</f>
        <v xml:space="preserve"> RANGE X </v>
      </c>
      <c r="AW30" s="334" t="str">
        <f>TEXT(AW29,"#,##0")</f>
        <v>5,000</v>
      </c>
      <c r="AX30" s="51" t="str">
        <f>AX29</f>
        <v xml:space="preserve"> VA ) = </v>
      </c>
      <c r="BA30" s="51" t="str">
        <f>IF(AU26=1,"",CONCATENATE(AT30,AU30,AV30,AW30,AX30))</f>
        <v/>
      </c>
    </row>
    <row r="31" spans="2:72">
      <c r="B31" s="370" t="str">
        <f t="shared" si="13"/>
        <v/>
      </c>
      <c r="C31" s="370"/>
      <c r="D31" s="372"/>
      <c r="E31" s="371" t="str">
        <f t="shared" si="14"/>
        <v/>
      </c>
      <c r="G31" s="340" t="str">
        <f>AJ102</f>
        <v xml:space="preserve">70% OF TABLE 220.55 ( 0 VA X 0.70 ) = </v>
      </c>
      <c r="H31" s="340"/>
      <c r="I31" s="340"/>
      <c r="J31" s="340"/>
      <c r="K31" s="340"/>
      <c r="L31" s="341"/>
      <c r="M31" s="342">
        <f>AK102</f>
        <v>0</v>
      </c>
      <c r="Q31" s="51" t="s">
        <v>514</v>
      </c>
      <c r="R31" s="50">
        <f>IF(M41-M44&lt;0,0,IF(M41-M44=0,0,M41-M44))</f>
        <v>0</v>
      </c>
      <c r="S31" s="51" t="s">
        <v>515</v>
      </c>
      <c r="AA31" s="51">
        <f t="shared" si="2"/>
        <v>29</v>
      </c>
      <c r="AB31" s="343" t="str">
        <f>IF(ISBLANK(Input!D113)=TRUE,"",Input!D113)</f>
        <v/>
      </c>
      <c r="AC31" s="345">
        <f>Input!E113</f>
        <v>0</v>
      </c>
      <c r="AD31" s="345" t="s">
        <v>76</v>
      </c>
      <c r="AE31" s="345">
        <f>Input!F113</f>
        <v>0</v>
      </c>
      <c r="AF31" s="345" t="str">
        <f>IF(OR(Input!J$9=1,Input!H113=1)," A X "," A X 1.732 X ")</f>
        <v xml:space="preserve"> A X </v>
      </c>
      <c r="AG31" s="346">
        <f>Input!Q$4</f>
        <v>240</v>
      </c>
      <c r="AH31" s="345" t="s">
        <v>415</v>
      </c>
      <c r="AI31" s="345" t="str">
        <f t="shared" si="0"/>
        <v/>
      </c>
      <c r="AJ31" s="345"/>
      <c r="AK31" s="347" t="str">
        <f>IF(AC31=0,"",IF(OR(Input!J$9=1,Input!H113=1),ROUND((AC31*AE31*AG31),0),ROUND((AC31*AE31*AG31*1.732),0)))</f>
        <v/>
      </c>
    </row>
    <row r="32" spans="2:72">
      <c r="B32" s="370" t="str">
        <f t="shared" si="13"/>
        <v/>
      </c>
      <c r="C32" s="370"/>
      <c r="D32" s="372"/>
      <c r="E32" s="371" t="str">
        <f t="shared" si="14"/>
        <v/>
      </c>
      <c r="G32" s="340" t="s">
        <v>66</v>
      </c>
      <c r="H32" s="340"/>
      <c r="I32" s="340"/>
      <c r="J32" s="340"/>
      <c r="K32" s="340"/>
      <c r="L32" s="340"/>
      <c r="M32" s="340" t="s">
        <v>66</v>
      </c>
      <c r="Q32" s="51" t="s">
        <v>514</v>
      </c>
      <c r="R32" s="334" t="str">
        <f>TEXT(R31,"#,##0")</f>
        <v>0</v>
      </c>
      <c r="S32" s="51" t="s">
        <v>515</v>
      </c>
      <c r="T32" s="51" t="str">
        <f>CONCATENATE(Q32,R32,S32)</f>
        <v>REMAINDER @ 70% ( 0 A X 0.70 ) =</v>
      </c>
      <c r="AA32" s="51">
        <f t="shared" si="2"/>
        <v>30</v>
      </c>
      <c r="AB32" s="343" t="str">
        <f>IF(ISBLANK(Input!D114)=TRUE,"",Input!D114)</f>
        <v/>
      </c>
      <c r="AC32" s="345">
        <f>Input!E114</f>
        <v>0</v>
      </c>
      <c r="AD32" s="345" t="s">
        <v>76</v>
      </c>
      <c r="AE32" s="345">
        <f>Input!F114</f>
        <v>0</v>
      </c>
      <c r="AF32" s="345" t="str">
        <f>IF(OR(Input!J$9=1,Input!H114=1)," A X "," A X 1.732 X ")</f>
        <v xml:space="preserve"> A X </v>
      </c>
      <c r="AG32" s="346">
        <f>Input!Q$4</f>
        <v>240</v>
      </c>
      <c r="AH32" s="345" t="s">
        <v>415</v>
      </c>
      <c r="AI32" s="345" t="str">
        <f t="shared" si="0"/>
        <v/>
      </c>
      <c r="AJ32" s="345"/>
      <c r="AK32" s="347" t="str">
        <f>IF(AC32=0,"",IF(OR(Input!J$9=1,Input!H114=1),ROUND((AC32*AE32*AG32),0),ROUND((AC32*AE32*AG32*1.732),0)))</f>
        <v/>
      </c>
      <c r="AT32" s="51" t="s">
        <v>487</v>
      </c>
      <c r="AU32" s="51">
        <f>AW29</f>
        <v>5000</v>
      </c>
      <c r="AV32" s="51" t="s">
        <v>497</v>
      </c>
      <c r="AW32" s="51">
        <f>AU32/2</f>
        <v>2500</v>
      </c>
      <c r="AX32" s="51" t="s">
        <v>488</v>
      </c>
    </row>
    <row r="33" spans="2:53">
      <c r="B33" s="370" t="str">
        <f t="shared" si="13"/>
        <v/>
      </c>
      <c r="C33" s="370"/>
      <c r="D33" s="372"/>
      <c r="E33" s="371" t="str">
        <f t="shared" si="14"/>
        <v/>
      </c>
      <c r="G33" s="61" t="s">
        <v>546</v>
      </c>
      <c r="H33" s="61"/>
      <c r="I33" s="61"/>
      <c r="J33" s="61"/>
      <c r="K33" s="61"/>
      <c r="L33" s="340"/>
      <c r="M33" s="340" t="s">
        <v>66</v>
      </c>
      <c r="AA33" s="51">
        <f t="shared" si="2"/>
        <v>31</v>
      </c>
      <c r="AB33" s="343" t="str">
        <f>IF(ISBLANK(Input!D115)=TRUE,"",Input!D115)</f>
        <v/>
      </c>
      <c r="AC33" s="345">
        <f>Input!E115</f>
        <v>0</v>
      </c>
      <c r="AD33" s="345" t="s">
        <v>76</v>
      </c>
      <c r="AE33" s="345">
        <f>Input!F115</f>
        <v>0</v>
      </c>
      <c r="AF33" s="345" t="str">
        <f>IF(OR(Input!J$9=1,Input!H115=1)," A X "," A X 1.732 X ")</f>
        <v xml:space="preserve"> A X </v>
      </c>
      <c r="AG33" s="346">
        <f>Input!Q$4</f>
        <v>240</v>
      </c>
      <c r="AH33" s="345" t="s">
        <v>415</v>
      </c>
      <c r="AI33" s="345" t="str">
        <f t="shared" si="0"/>
        <v/>
      </c>
      <c r="AJ33" s="345"/>
      <c r="AK33" s="347" t="str">
        <f>IF(AC33=0,"",IF(OR(Input!J$9=1,Input!H115=1),ROUND((AC33*AE33*AG33),0),ROUND((AC33*AE33*AG33*1.732),0)))</f>
        <v/>
      </c>
      <c r="AT33" s="51" t="s">
        <v>487</v>
      </c>
      <c r="AU33" s="334" t="str">
        <f>TEXT(AU32,"#,##0")</f>
        <v>5,000</v>
      </c>
      <c r="AV33" s="51" t="s">
        <v>497</v>
      </c>
      <c r="AW33" s="334" t="str">
        <f>TEXT(AW32,"#,##0")</f>
        <v>2,500</v>
      </c>
      <c r="AX33" s="51" t="s">
        <v>488</v>
      </c>
      <c r="BA33" s="51" t="str">
        <f>IF(AU26=1,"",CONCATENATE(AT33,AU33,AV33,AW33,AX33))</f>
        <v/>
      </c>
    </row>
    <row r="34" spans="2:53">
      <c r="B34" s="370" t="str">
        <f t="shared" si="13"/>
        <v/>
      </c>
      <c r="C34" s="370"/>
      <c r="D34" s="372"/>
      <c r="E34" s="371" t="str">
        <f t="shared" si="14"/>
        <v/>
      </c>
      <c r="G34" s="64" t="str">
        <f>IF(AND(S1=2002,Input!J9="3Y"),"PROHIBITED REDUCTION - 220.22",IF(AND(S1&lt;&gt;2002,Input!J9="3Y"),"PROHIBITED REDUCTION - 220.61(C)(1)",IF(S1&lt;&gt;2002,"TABLE 220.54","TABLE 220.18")))</f>
        <v>TABLE 220.54</v>
      </c>
      <c r="H34" s="64"/>
      <c r="I34" s="64"/>
      <c r="J34" s="64"/>
      <c r="K34" s="64"/>
      <c r="L34" s="340"/>
      <c r="M34" s="340" t="s">
        <v>66</v>
      </c>
      <c r="AA34" s="51">
        <f t="shared" si="2"/>
        <v>32</v>
      </c>
      <c r="AB34" s="343" t="str">
        <f>IF(ISBLANK(Input!D116)=TRUE,"",Input!D116)</f>
        <v/>
      </c>
      <c r="AC34" s="345">
        <f>Input!E116</f>
        <v>0</v>
      </c>
      <c r="AD34" s="345" t="s">
        <v>76</v>
      </c>
      <c r="AE34" s="345">
        <f>Input!F116</f>
        <v>0</v>
      </c>
      <c r="AF34" s="345" t="str">
        <f>IF(OR(Input!J$9=1,Input!H116=1)," A X "," A X 1.732 X ")</f>
        <v xml:space="preserve"> A X </v>
      </c>
      <c r="AG34" s="346">
        <f>Input!Q$4</f>
        <v>240</v>
      </c>
      <c r="AH34" s="345" t="s">
        <v>415</v>
      </c>
      <c r="AI34" s="345" t="str">
        <f t="shared" si="0"/>
        <v/>
      </c>
      <c r="AJ34" s="345"/>
      <c r="AK34" s="347" t="str">
        <f>IF(AC34=0,"",IF(OR(Input!J$9=1,Input!H116=1),ROUND((AC34*AE34*AG34),0),ROUND((AC34*AE34*AG34*1.732),0)))</f>
        <v/>
      </c>
    </row>
    <row r="35" spans="2:53">
      <c r="B35" s="370" t="str">
        <f t="shared" si="13"/>
        <v/>
      </c>
      <c r="C35" s="370"/>
      <c r="D35" s="372"/>
      <c r="E35" s="371" t="str">
        <f t="shared" si="14"/>
        <v/>
      </c>
      <c r="G35" s="340" t="str">
        <f>AJ104</f>
        <v xml:space="preserve">70% OF TABLE 220.54 ( 5,000 VA 1.00 VA X 0.70 ) = </v>
      </c>
      <c r="H35" s="340"/>
      <c r="I35" s="340"/>
      <c r="J35" s="340"/>
      <c r="K35" s="340"/>
      <c r="L35" s="341"/>
      <c r="M35" s="342">
        <f>AK104</f>
        <v>3500</v>
      </c>
      <c r="AA35" s="51">
        <f t="shared" si="2"/>
        <v>33</v>
      </c>
      <c r="AB35" s="343" t="str">
        <f>IF(ISBLANK(Input!D117)=TRUE,"",Input!D117)</f>
        <v/>
      </c>
      <c r="AC35" s="345">
        <f>Input!E117</f>
        <v>0</v>
      </c>
      <c r="AD35" s="345" t="s">
        <v>76</v>
      </c>
      <c r="AE35" s="345">
        <f>Input!F117</f>
        <v>0</v>
      </c>
      <c r="AF35" s="345" t="str">
        <f>IF(OR(Input!J$9=1,Input!H117=1)," A X "," A X 1.732 X ")</f>
        <v xml:space="preserve"> A X </v>
      </c>
      <c r="AG35" s="346">
        <f>Input!Q$4</f>
        <v>240</v>
      </c>
      <c r="AH35" s="345" t="s">
        <v>415</v>
      </c>
      <c r="AI35" s="345" t="str">
        <f t="shared" si="0"/>
        <v/>
      </c>
      <c r="AJ35" s="345"/>
      <c r="AK35" s="347" t="str">
        <f>IF(AC35=0,"",IF(OR(Input!J$9=1,Input!H117=1),ROUND((AC35*AE35*AG35),0),ROUND((AC35*AE35*AG35*1.732),0)))</f>
        <v/>
      </c>
      <c r="AT35" s="51" t="s">
        <v>489</v>
      </c>
      <c r="AU35" s="51">
        <f>AW32</f>
        <v>2500</v>
      </c>
      <c r="AV35" s="51" t="s">
        <v>498</v>
      </c>
      <c r="AX35" s="51" t="str">
        <f>IF(AU26=1,"",AU35*3)</f>
        <v/>
      </c>
    </row>
    <row r="36" spans="2:53">
      <c r="B36" s="370" t="str">
        <f t="shared" si="13"/>
        <v/>
      </c>
      <c r="C36" s="370"/>
      <c r="D36" s="372"/>
      <c r="E36" s="371" t="str">
        <f t="shared" si="14"/>
        <v/>
      </c>
      <c r="G36" s="51" t="s">
        <v>66</v>
      </c>
      <c r="M36" s="51" t="s">
        <v>66</v>
      </c>
      <c r="AA36" s="51">
        <f t="shared" si="2"/>
        <v>34</v>
      </c>
      <c r="AB36" s="350" t="str">
        <f>IF(ISBLANK(Input!D118)=TRUE,"",Input!D118)</f>
        <v/>
      </c>
      <c r="AC36" s="351">
        <f>Input!E118</f>
        <v>0</v>
      </c>
      <c r="AD36" s="351" t="s">
        <v>76</v>
      </c>
      <c r="AE36" s="351">
        <f>Input!F118</f>
        <v>0</v>
      </c>
      <c r="AF36" s="351" t="str">
        <f>IF(OR(Input!J$9=1,Input!H118=1)," A X "," A X 1.732 X ")</f>
        <v xml:space="preserve"> A X </v>
      </c>
      <c r="AG36" s="352">
        <f>Input!Q$4</f>
        <v>240</v>
      </c>
      <c r="AH36" s="351" t="s">
        <v>415</v>
      </c>
      <c r="AI36" s="351" t="str">
        <f t="shared" si="0"/>
        <v/>
      </c>
      <c r="AJ36" s="351"/>
      <c r="AK36" s="353" t="str">
        <f>IF(AC36=0,"",IF(OR(Input!J$9=1,Input!H118=1),ROUND((AC36*AE36*AG36),0),ROUND((AC36*AE36*AG36*1.732),0)))</f>
        <v/>
      </c>
      <c r="AT36" s="51" t="s">
        <v>489</v>
      </c>
      <c r="AU36" s="334" t="str">
        <f>TEXT(AU35,"#,##0")</f>
        <v>2,500</v>
      </c>
      <c r="AV36" s="51" t="s">
        <v>498</v>
      </c>
      <c r="BA36" s="51" t="str">
        <f>IF(AU26=1,"",CONCATENATE(AT36,AU36,AV36,AW36,AX36))</f>
        <v/>
      </c>
    </row>
    <row r="37" spans="2:53">
      <c r="B37" s="370" t="str">
        <f t="shared" si="13"/>
        <v/>
      </c>
      <c r="C37" s="370"/>
      <c r="D37" s="372"/>
      <c r="E37" s="371" t="str">
        <f t="shared" si="14"/>
        <v/>
      </c>
      <c r="G37" s="51" t="s">
        <v>516</v>
      </c>
      <c r="M37" s="321">
        <f>AK106</f>
        <v>2280</v>
      </c>
    </row>
    <row r="38" spans="2:53">
      <c r="B38" s="370" t="str">
        <f t="shared" si="13"/>
        <v/>
      </c>
      <c r="C38" s="370"/>
      <c r="D38" s="372"/>
      <c r="E38" s="371" t="str">
        <f t="shared" si="14"/>
        <v/>
      </c>
      <c r="G38" s="51" t="s">
        <v>66</v>
      </c>
      <c r="M38" s="51" t="s">
        <v>66</v>
      </c>
    </row>
    <row r="39" spans="2:53">
      <c r="B39" s="51" t="s">
        <v>66</v>
      </c>
      <c r="D39" s="334"/>
      <c r="E39" s="321" t="s">
        <v>66</v>
      </c>
      <c r="G39" s="51" t="s">
        <v>28</v>
      </c>
      <c r="M39" s="338">
        <f>SUM(M27:M37)</f>
        <v>8885</v>
      </c>
    </row>
    <row r="40" spans="2:53">
      <c r="B40" s="323" t="str">
        <f>IF(S1&lt;&gt;2002,"MISC LOADS NEC 220.82(B)(4)","MISC LOADS NEC 220.30(B)(4)")</f>
        <v>MISC LOADS NEC 220.82(B)(4)</v>
      </c>
      <c r="E40" s="51" t="s">
        <v>66</v>
      </c>
      <c r="G40" s="51" t="s">
        <v>66</v>
      </c>
      <c r="M40" s="51" t="s">
        <v>66</v>
      </c>
    </row>
    <row r="41" spans="2:53">
      <c r="B41" s="51" t="str">
        <f t="shared" ref="B41:B74" si="15">AI3</f>
        <v xml:space="preserve">MIRCOWAVE ( 2 X 9.5 A X 120 V ) = </v>
      </c>
      <c r="D41" s="334"/>
      <c r="E41" s="321">
        <f t="shared" ref="E41:E74" si="16">AK3</f>
        <v>2280</v>
      </c>
      <c r="G41" s="51" t="str">
        <f>AJ109</f>
        <v xml:space="preserve">NEUTRAL LOAD ( 8,885 VA ÷ 240 V ) = </v>
      </c>
      <c r="L41" s="334"/>
      <c r="M41" s="348">
        <f>AL109</f>
        <v>37</v>
      </c>
    </row>
    <row r="42" spans="2:53">
      <c r="B42" s="51" t="str">
        <f t="shared" si="15"/>
        <v xml:space="preserve">CENTRAL VAC ( 1 X 12 A X 120 V ) = </v>
      </c>
      <c r="D42" s="334"/>
      <c r="E42" s="321">
        <f t="shared" si="16"/>
        <v>1440</v>
      </c>
      <c r="G42" s="51" t="s">
        <v>66</v>
      </c>
      <c r="M42" s="51" t="s">
        <v>66</v>
      </c>
      <c r="O42" s="50"/>
      <c r="W42" s="51" t="s">
        <v>219</v>
      </c>
      <c r="X42" s="51" t="str">
        <f>Conduit!G54</f>
        <v>#1/0</v>
      </c>
    </row>
    <row r="43" spans="2:53">
      <c r="B43" s="51" t="str">
        <f t="shared" si="15"/>
        <v/>
      </c>
      <c r="D43" s="334"/>
      <c r="E43" s="321" t="str">
        <f t="shared" si="16"/>
        <v/>
      </c>
      <c r="G43" s="340" t="str">
        <f>IF(S1=2002,"FURTHER DEMAND FACTOR - NEC 220.22","FURTHER DEMAND FACTOR - NEC 220.61(B)(2)")</f>
        <v>FURTHER DEMAND FACTOR - NEC 220.61(B)(2)</v>
      </c>
      <c r="M43" s="51" t="s">
        <v>66</v>
      </c>
      <c r="O43" s="334"/>
      <c r="W43" s="51" t="s">
        <v>522</v>
      </c>
      <c r="X43" s="51" t="str">
        <f>'S-Sec Cable'!J18</f>
        <v>ERROR</v>
      </c>
    </row>
    <row r="44" spans="2:53">
      <c r="B44" s="51" t="str">
        <f t="shared" si="15"/>
        <v/>
      </c>
      <c r="D44" s="334"/>
      <c r="E44" s="321" t="str">
        <f t="shared" si="16"/>
        <v/>
      </c>
      <c r="G44" s="51" t="str">
        <f>T29</f>
        <v>FIRST 200 A @ 100% (37 A X 1.00 ) =</v>
      </c>
      <c r="M44" s="348">
        <f>IF(OR(M41=200,M41&gt;200),200,M41)</f>
        <v>37</v>
      </c>
      <c r="P44" s="51" t="s">
        <v>282</v>
      </c>
      <c r="Q44" s="51" t="str">
        <f>Input!E16</f>
        <v>CONDUIT</v>
      </c>
    </row>
    <row r="45" spans="2:53">
      <c r="B45" s="51" t="str">
        <f t="shared" si="15"/>
        <v/>
      </c>
      <c r="D45" s="334"/>
      <c r="E45" s="321" t="str">
        <f t="shared" si="16"/>
        <v/>
      </c>
      <c r="G45" s="51" t="str">
        <f>T32</f>
        <v>REMAINDER @ 70% ( 0 A X 0.70 ) =</v>
      </c>
      <c r="M45" s="348">
        <f>IF(M41&gt;200,((M41-200)*0.7),0)</f>
        <v>0</v>
      </c>
      <c r="O45" s="50"/>
      <c r="Q45" s="51" t="s">
        <v>529</v>
      </c>
      <c r="X45" s="51" t="str">
        <f>IF(Input!E16&lt;&gt;"CONDUIT",X43,X42)</f>
        <v>#1/0</v>
      </c>
      <c r="AB45" s="302" t="s">
        <v>150</v>
      </c>
      <c r="AC45" s="302" t="s">
        <v>150</v>
      </c>
      <c r="AD45" s="303" t="s">
        <v>530</v>
      </c>
    </row>
    <row r="46" spans="2:53">
      <c r="B46" s="51" t="str">
        <f t="shared" si="15"/>
        <v/>
      </c>
      <c r="D46" s="334"/>
      <c r="E46" s="321" t="str">
        <f t="shared" si="16"/>
        <v/>
      </c>
      <c r="G46" s="51" t="s">
        <v>66</v>
      </c>
      <c r="M46" s="51" t="s">
        <v>66</v>
      </c>
      <c r="O46" s="334"/>
      <c r="Q46" s="51" t="s">
        <v>66</v>
      </c>
      <c r="AB46" s="304" t="s">
        <v>133</v>
      </c>
      <c r="AC46" s="304" t="s">
        <v>133</v>
      </c>
      <c r="AD46" s="305" t="s">
        <v>128</v>
      </c>
    </row>
    <row r="47" spans="2:53">
      <c r="B47" s="51" t="str">
        <f t="shared" si="15"/>
        <v/>
      </c>
      <c r="D47" s="334"/>
      <c r="E47" s="321" t="str">
        <f t="shared" si="16"/>
        <v/>
      </c>
      <c r="G47" s="51" t="s">
        <v>24</v>
      </c>
      <c r="M47" s="349">
        <f>SUM(M44:M45)</f>
        <v>37</v>
      </c>
      <c r="P47" s="51" t="s">
        <v>133</v>
      </c>
      <c r="Q47" s="51">
        <f>Input!E13</f>
        <v>0</v>
      </c>
      <c r="X47" s="51">
        <f>MATCH(X45,AB48:AB65,0)</f>
        <v>6</v>
      </c>
      <c r="AB47" s="304" t="s">
        <v>156</v>
      </c>
      <c r="AC47" s="304" t="s">
        <v>157</v>
      </c>
      <c r="AD47" s="305"/>
    </row>
    <row r="48" spans="2:53">
      <c r="B48" s="51" t="str">
        <f t="shared" si="15"/>
        <v/>
      </c>
      <c r="D48" s="334"/>
      <c r="E48" s="321" t="str">
        <f t="shared" si="16"/>
        <v/>
      </c>
      <c r="G48" s="51" t="s">
        <v>66</v>
      </c>
      <c r="P48" s="51" t="s">
        <v>125</v>
      </c>
      <c r="Q48" s="51">
        <f>Input!E14</f>
        <v>0</v>
      </c>
      <c r="S48" s="51" t="str">
        <f>CONCATENATE(Q47,Q46,Q48,Q45)</f>
        <v>0 0 --</v>
      </c>
      <c r="V48" s="49"/>
      <c r="X48" s="51" t="s">
        <v>535</v>
      </c>
      <c r="AA48" s="51">
        <v>1</v>
      </c>
      <c r="AB48" s="302" t="s">
        <v>158</v>
      </c>
      <c r="AC48" s="302">
        <v>5</v>
      </c>
      <c r="AD48" s="303" t="s">
        <v>217</v>
      </c>
    </row>
    <row r="49" spans="2:30">
      <c r="B49" s="51" t="str">
        <f t="shared" si="15"/>
        <v/>
      </c>
      <c r="D49" s="334"/>
      <c r="E49" s="321" t="str">
        <f t="shared" si="16"/>
        <v/>
      </c>
      <c r="G49" s="51" t="s">
        <v>66</v>
      </c>
      <c r="P49" s="51" t="s">
        <v>526</v>
      </c>
      <c r="Q49" s="51">
        <f>IF(Input!E9="NO","YES",99)</f>
        <v>99</v>
      </c>
      <c r="S49" s="51" t="str">
        <f>CONCATENATE(Q45,Q46,Q47,Q46,Q48,)</f>
        <v xml:space="preserve"> -- 0 0</v>
      </c>
      <c r="V49" s="49"/>
      <c r="X49" s="51" t="str">
        <f>VLOOKUP(X47,AA48:AD65,4)</f>
        <v>#6</v>
      </c>
      <c r="AA49" s="51">
        <v>2</v>
      </c>
      <c r="AB49" s="304" t="s">
        <v>161</v>
      </c>
      <c r="AC49" s="304">
        <v>6</v>
      </c>
      <c r="AD49" s="305" t="s">
        <v>217</v>
      </c>
    </row>
    <row r="50" spans="2:30">
      <c r="B50" s="51" t="str">
        <f t="shared" si="15"/>
        <v/>
      </c>
      <c r="D50" s="334"/>
      <c r="E50" s="321" t="str">
        <f t="shared" si="16"/>
        <v/>
      </c>
      <c r="G50" s="323" t="str">
        <f>IF(Input!J3="NO"," ","VOLTAGE DROP CALCULATIONS")</f>
        <v>VOLTAGE DROP CALCULATIONS</v>
      </c>
      <c r="H50" s="323"/>
      <c r="I50" s="323"/>
      <c r="J50" s="323"/>
      <c r="K50" s="323"/>
      <c r="X50" s="51" t="s">
        <v>66</v>
      </c>
      <c r="AA50" s="51">
        <v>3</v>
      </c>
      <c r="AB50" s="304" t="s">
        <v>163</v>
      </c>
      <c r="AC50" s="304">
        <v>6</v>
      </c>
      <c r="AD50" s="305" t="s">
        <v>217</v>
      </c>
    </row>
    <row r="51" spans="2:30">
      <c r="B51" s="51" t="str">
        <f t="shared" si="15"/>
        <v/>
      </c>
      <c r="D51" s="334"/>
      <c r="E51" s="321" t="str">
        <f t="shared" si="16"/>
        <v/>
      </c>
      <c r="G51" s="51" t="str">
        <f>IF(Input!J3="NO"," ",IF(Input!J9=1,Conduit!AS116,Conduit!AS117))</f>
        <v>( 2 X 25' L X 0.2010 R X 114.0 A ÷ 1,000 )  = 1.1 VD</v>
      </c>
      <c r="L51" s="354"/>
      <c r="Q51" s="51">
        <f>Input!E10</f>
        <v>0</v>
      </c>
      <c r="X51" s="51" t="s">
        <v>534</v>
      </c>
      <c r="AA51" s="51">
        <v>4</v>
      </c>
      <c r="AB51" s="304" t="s">
        <v>162</v>
      </c>
      <c r="AC51" s="304">
        <v>8</v>
      </c>
      <c r="AD51" s="305" t="s">
        <v>217</v>
      </c>
    </row>
    <row r="52" spans="2:30">
      <c r="B52" s="51" t="str">
        <f t="shared" si="15"/>
        <v/>
      </c>
      <c r="D52" s="334"/>
      <c r="E52" s="321" t="str">
        <f t="shared" si="16"/>
        <v/>
      </c>
      <c r="G52" s="51" t="str">
        <f>IF(Input!J3="NO"," ",IF(Input!J9=1,Conduit!AW116,Conduit!AW117))</f>
        <v>( 1.1 VD ÷ 240 V X 100 ) = 0.5 % VD</v>
      </c>
      <c r="P52" s="51" t="str">
        <f>Export!F4</f>
        <v>60A-2P</v>
      </c>
      <c r="Q52" s="51">
        <f>Input!E11</f>
        <v>0</v>
      </c>
      <c r="AA52" s="51">
        <v>5</v>
      </c>
      <c r="AB52" s="304" t="s">
        <v>164</v>
      </c>
      <c r="AC52" s="304">
        <v>9</v>
      </c>
      <c r="AD52" s="305" t="s">
        <v>158</v>
      </c>
    </row>
    <row r="53" spans="2:30">
      <c r="B53" s="51" t="str">
        <f t="shared" si="15"/>
        <v/>
      </c>
      <c r="D53" s="334"/>
      <c r="E53" s="321" t="str">
        <f t="shared" si="16"/>
        <v/>
      </c>
      <c r="G53" s="51" t="s">
        <v>66</v>
      </c>
      <c r="Q53" s="51">
        <f>Input!E12</f>
        <v>0</v>
      </c>
      <c r="X53" s="51" t="str">
        <f>CONCATENATE(X48,X49,X50,X51)</f>
        <v xml:space="preserve"> ---------------------------  #6 UFER GND</v>
      </c>
      <c r="AA53" s="51">
        <v>6</v>
      </c>
      <c r="AB53" s="304" t="s">
        <v>165</v>
      </c>
      <c r="AC53" s="304">
        <v>10</v>
      </c>
      <c r="AD53" s="305" t="s">
        <v>158</v>
      </c>
    </row>
    <row r="54" spans="2:30">
      <c r="B54" s="51" t="str">
        <f t="shared" si="15"/>
        <v/>
      </c>
      <c r="D54" s="334"/>
      <c r="E54" s="321" t="str">
        <f t="shared" si="16"/>
        <v/>
      </c>
      <c r="G54" s="323" t="str">
        <f>IF(Input!J6="NO"," ","FAULT CURRENT CALCULATIONS")</f>
        <v>FAULT CURRENT CALCULATIONS</v>
      </c>
      <c r="H54" s="323"/>
      <c r="I54" s="323"/>
      <c r="J54" s="323"/>
      <c r="K54" s="323"/>
      <c r="AA54" s="51">
        <v>7</v>
      </c>
      <c r="AB54" s="304" t="s">
        <v>166</v>
      </c>
      <c r="AC54" s="304">
        <v>11</v>
      </c>
      <c r="AD54" s="305" t="s">
        <v>158</v>
      </c>
    </row>
    <row r="55" spans="2:30">
      <c r="B55" s="51" t="str">
        <f t="shared" si="15"/>
        <v/>
      </c>
      <c r="D55" s="334"/>
      <c r="E55" s="321" t="str">
        <f t="shared" si="16"/>
        <v/>
      </c>
      <c r="G55" s="51" t="str">
        <f>IF(Input!J6="NO"," ",Short!S4)</f>
        <v>(( 15,818 AFC X 1.00 UA ) + 0 MC ) = 15,818 AFC</v>
      </c>
      <c r="P55" s="323" t="s">
        <v>283</v>
      </c>
      <c r="AA55" s="51">
        <v>8</v>
      </c>
      <c r="AB55" s="304" t="s">
        <v>169</v>
      </c>
      <c r="AC55" s="304">
        <v>12</v>
      </c>
      <c r="AD55" s="305" t="s">
        <v>161</v>
      </c>
    </row>
    <row r="56" spans="2:30">
      <c r="B56" s="51" t="str">
        <f t="shared" si="15"/>
        <v/>
      </c>
      <c r="D56" s="334"/>
      <c r="E56" s="321" t="str">
        <f t="shared" si="16"/>
        <v/>
      </c>
      <c r="G56" s="51" t="str">
        <f>IF(Input!J6="NO"," ",Short!S22)</f>
        <v>( 2 X 25 L X 15,818 AFC  ) ÷ ( 2,353 C X 1 N X 240 V ) = 1.401 CF</v>
      </c>
      <c r="O56" s="357" t="s">
        <v>525</v>
      </c>
      <c r="P56" s="49" t="str">
        <f>Export!H4</f>
        <v xml:space="preserve"> 25'</v>
      </c>
      <c r="R56" s="51" t="str">
        <f t="shared" ref="R56:R61" si="17">CONCATENATE(O56,P56,Q56)</f>
        <v>--- 25'</v>
      </c>
      <c r="AA56" s="51">
        <v>9</v>
      </c>
      <c r="AB56" s="305" t="s">
        <v>169</v>
      </c>
      <c r="AC56" s="304">
        <v>12</v>
      </c>
      <c r="AD56" s="305" t="s">
        <v>161</v>
      </c>
    </row>
    <row r="57" spans="2:30">
      <c r="B57" s="51" t="str">
        <f t="shared" si="15"/>
        <v/>
      </c>
      <c r="D57" s="334"/>
      <c r="E57" s="321" t="str">
        <f t="shared" si="16"/>
        <v/>
      </c>
      <c r="G57" s="51" t="str">
        <f>IF(Input!J6="NO"," ",Short!S26)</f>
        <v xml:space="preserve">( 1 ) ÷ ( 1 + 1.401 CF ) = 0.416 CM </v>
      </c>
      <c r="O57" s="357" t="s">
        <v>525</v>
      </c>
      <c r="P57" s="51" t="str">
        <f>Export!I4</f>
        <v xml:space="preserve"> 1- SER CABLE</v>
      </c>
      <c r="Q57" s="51" t="s">
        <v>66</v>
      </c>
      <c r="R57" s="51" t="str">
        <f t="shared" si="17"/>
        <v xml:space="preserve">--- 1- SER CABLE </v>
      </c>
      <c r="T57" s="51" t="str">
        <f>CONCATENATE(P57,Q57,O57)</f>
        <v xml:space="preserve"> 1- SER CABLE ---</v>
      </c>
      <c r="AA57" s="51">
        <v>10</v>
      </c>
      <c r="AB57" s="305" t="s">
        <v>170</v>
      </c>
      <c r="AC57" s="304">
        <v>12</v>
      </c>
      <c r="AD57" s="305" t="s">
        <v>161</v>
      </c>
    </row>
    <row r="58" spans="2:30">
      <c r="B58" s="51" t="str">
        <f t="shared" si="15"/>
        <v/>
      </c>
      <c r="D58" s="334"/>
      <c r="E58" s="321" t="str">
        <f t="shared" si="16"/>
        <v/>
      </c>
      <c r="G58" s="51" t="str">
        <f>IF(Input!J6="NO"," ",Short!S30)</f>
        <v>( 15,818 AFC X 0.416 CM ) = 6,580 CLC</v>
      </c>
      <c r="O58" s="51" t="s">
        <v>397</v>
      </c>
      <c r="P58" s="335" t="str">
        <f>Export!J4</f>
        <v xml:space="preserve"> 3-#4 AL  </v>
      </c>
      <c r="R58" s="51" t="str">
        <f t="shared" si="17"/>
        <v xml:space="preserve">     3-#4 AL  </v>
      </c>
      <c r="AA58" s="51">
        <v>11</v>
      </c>
      <c r="AB58" s="305" t="s">
        <v>172</v>
      </c>
      <c r="AC58" s="304">
        <v>12</v>
      </c>
      <c r="AD58" s="305" t="s">
        <v>161</v>
      </c>
    </row>
    <row r="59" spans="2:30">
      <c r="B59" s="51" t="str">
        <f t="shared" si="15"/>
        <v/>
      </c>
      <c r="D59" s="334"/>
      <c r="E59" s="321" t="str">
        <f t="shared" si="16"/>
        <v/>
      </c>
      <c r="O59" s="51" t="s">
        <v>397</v>
      </c>
      <c r="P59" s="51" t="str">
        <f>Export!K4</f>
        <v xml:space="preserve"> 1-#6 GND</v>
      </c>
      <c r="R59" s="51" t="str">
        <f t="shared" si="17"/>
        <v xml:space="preserve">     1-#6 GND</v>
      </c>
      <c r="AA59" s="51">
        <v>12</v>
      </c>
      <c r="AB59" s="305" t="s">
        <v>173</v>
      </c>
      <c r="AC59" s="304">
        <v>12</v>
      </c>
      <c r="AD59" s="305" t="s">
        <v>161</v>
      </c>
    </row>
    <row r="60" spans="2:30">
      <c r="B60" s="51" t="str">
        <f t="shared" si="15"/>
        <v/>
      </c>
      <c r="D60" s="334"/>
      <c r="E60" s="321" t="str">
        <f t="shared" si="16"/>
        <v/>
      </c>
      <c r="G60" s="65"/>
      <c r="H60" s="65"/>
      <c r="I60" s="65"/>
      <c r="J60" s="65"/>
      <c r="K60" s="65"/>
      <c r="L60" s="65"/>
      <c r="M60" s="65"/>
      <c r="O60" s="51" t="s">
        <v>397</v>
      </c>
      <c r="P60" s="51" t="str">
        <f>Export!L4</f>
        <v xml:space="preserve"> </v>
      </c>
      <c r="R60" s="51" t="str">
        <f t="shared" si="17"/>
        <v xml:space="preserve">     </v>
      </c>
      <c r="AA60" s="51">
        <v>13</v>
      </c>
      <c r="AB60" s="305" t="s">
        <v>175</v>
      </c>
      <c r="AC60" s="304">
        <v>12</v>
      </c>
      <c r="AD60" s="305" t="s">
        <v>161</v>
      </c>
    </row>
    <row r="61" spans="2:30">
      <c r="B61" s="51" t="str">
        <f t="shared" si="15"/>
        <v/>
      </c>
      <c r="D61" s="334"/>
      <c r="E61" s="321" t="str">
        <f t="shared" si="16"/>
        <v/>
      </c>
      <c r="G61" s="65"/>
      <c r="H61" s="65" t="s">
        <v>455</v>
      </c>
      <c r="I61" s="65"/>
      <c r="J61" s="65"/>
      <c r="K61" s="65"/>
      <c r="L61" s="65"/>
      <c r="M61" s="65"/>
      <c r="O61" s="51" t="s">
        <v>397</v>
      </c>
      <c r="P61" s="51" t="str">
        <f>Export!M4</f>
        <v xml:space="preserve"> </v>
      </c>
      <c r="R61" s="51" t="str">
        <f t="shared" si="17"/>
        <v xml:space="preserve">     </v>
      </c>
      <c r="AA61" s="51">
        <v>14</v>
      </c>
      <c r="AB61" s="305" t="s">
        <v>176</v>
      </c>
      <c r="AC61" s="304">
        <v>12</v>
      </c>
      <c r="AD61" s="305" t="s">
        <v>161</v>
      </c>
    </row>
    <row r="62" spans="2:30">
      <c r="B62" s="51" t="str">
        <f t="shared" si="15"/>
        <v/>
      </c>
      <c r="D62" s="334"/>
      <c r="E62" s="321" t="str">
        <f t="shared" si="16"/>
        <v/>
      </c>
      <c r="G62" s="65"/>
      <c r="H62" s="65" t="str">
        <f>R119</f>
        <v>A - Amps</v>
      </c>
      <c r="I62" s="65"/>
      <c r="J62" s="65"/>
      <c r="K62" s="65"/>
      <c r="L62" s="65"/>
      <c r="M62" s="65"/>
      <c r="O62" s="51" t="s">
        <v>397</v>
      </c>
      <c r="AA62" s="51">
        <v>15</v>
      </c>
      <c r="AB62" s="305" t="s">
        <v>177</v>
      </c>
      <c r="AC62" s="305">
        <v>12</v>
      </c>
      <c r="AD62" s="305" t="s">
        <v>161</v>
      </c>
    </row>
    <row r="63" spans="2:30">
      <c r="B63" s="51" t="str">
        <f t="shared" si="15"/>
        <v/>
      </c>
      <c r="D63" s="334"/>
      <c r="E63" s="321" t="str">
        <f t="shared" si="16"/>
        <v/>
      </c>
      <c r="G63" s="65"/>
      <c r="H63" s="65" t="str">
        <f t="shared" ref="H63:H79" si="18">R120</f>
        <v>AFC - Available Fault Current</v>
      </c>
      <c r="I63" s="65"/>
      <c r="J63" s="65"/>
      <c r="K63" s="65"/>
      <c r="L63" s="65"/>
      <c r="M63" s="65"/>
      <c r="O63" s="51" t="s">
        <v>397</v>
      </c>
      <c r="AA63" s="51">
        <v>16</v>
      </c>
      <c r="AB63" s="305" t="s">
        <v>531</v>
      </c>
      <c r="AC63" s="305">
        <v>12</v>
      </c>
      <c r="AD63" s="305" t="s">
        <v>161</v>
      </c>
    </row>
    <row r="64" spans="2:30">
      <c r="B64" s="51" t="str">
        <f t="shared" si="15"/>
        <v/>
      </c>
      <c r="D64" s="334"/>
      <c r="E64" s="321" t="str">
        <f t="shared" si="16"/>
        <v/>
      </c>
      <c r="G64" s="65"/>
      <c r="H64" s="65" t="str">
        <f t="shared" si="18"/>
        <v>C - Conductor Constance</v>
      </c>
      <c r="I64" s="65"/>
      <c r="J64" s="65"/>
      <c r="K64" s="65"/>
      <c r="L64" s="65"/>
      <c r="M64" s="65"/>
      <c r="O64" s="51" t="s">
        <v>397</v>
      </c>
      <c r="AA64" s="51">
        <v>17</v>
      </c>
      <c r="AB64" s="305" t="s">
        <v>532</v>
      </c>
      <c r="AC64" s="305">
        <v>12</v>
      </c>
      <c r="AD64" s="305" t="s">
        <v>161</v>
      </c>
    </row>
    <row r="65" spans="2:30">
      <c r="B65" s="51" t="str">
        <f t="shared" si="15"/>
        <v xml:space="preserve">PUMP ( 2 X 21 A X 240 V ) = </v>
      </c>
      <c r="D65" s="334"/>
      <c r="E65" s="321">
        <f t="shared" si="16"/>
        <v>10080</v>
      </c>
      <c r="G65" s="65"/>
      <c r="H65" s="65" t="str">
        <f t="shared" si="18"/>
        <v>CF - Conductor Factor</v>
      </c>
      <c r="I65" s="65"/>
      <c r="J65" s="65"/>
      <c r="K65" s="65"/>
      <c r="L65" s="65"/>
      <c r="M65" s="65"/>
      <c r="O65" s="51" t="s">
        <v>397</v>
      </c>
      <c r="P65" s="51" t="str">
        <f>Export!F4</f>
        <v>60A-2P</v>
      </c>
      <c r="AA65" s="51">
        <v>18</v>
      </c>
      <c r="AB65" s="306" t="s">
        <v>533</v>
      </c>
      <c r="AC65" s="306">
        <v>12</v>
      </c>
      <c r="AD65" s="306" t="s">
        <v>161</v>
      </c>
    </row>
    <row r="66" spans="2:30">
      <c r="B66" s="51" t="str">
        <f t="shared" si="15"/>
        <v/>
      </c>
      <c r="D66" s="334"/>
      <c r="E66" s="321" t="str">
        <f t="shared" si="16"/>
        <v/>
      </c>
      <c r="G66" s="65"/>
      <c r="H66" s="65" t="str">
        <f t="shared" si="18"/>
        <v>CLC - Conductor Let Through Current</v>
      </c>
      <c r="I66" s="65"/>
      <c r="J66" s="65"/>
      <c r="K66" s="65"/>
      <c r="L66" s="65"/>
      <c r="M66" s="65"/>
    </row>
    <row r="67" spans="2:30">
      <c r="B67" s="51" t="str">
        <f t="shared" si="15"/>
        <v/>
      </c>
      <c r="D67" s="334"/>
      <c r="E67" s="321" t="str">
        <f t="shared" si="16"/>
        <v/>
      </c>
      <c r="G67" s="65"/>
      <c r="H67" s="65" t="str">
        <f t="shared" si="18"/>
        <v>CM - Conductor Multiplier</v>
      </c>
      <c r="I67" s="65"/>
      <c r="J67" s="65"/>
      <c r="K67" s="65"/>
      <c r="L67" s="65"/>
      <c r="M67" s="65"/>
    </row>
    <row r="68" spans="2:30">
      <c r="B68" s="51" t="str">
        <f t="shared" si="15"/>
        <v/>
      </c>
      <c r="D68" s="334"/>
      <c r="E68" s="321" t="str">
        <f t="shared" si="16"/>
        <v/>
      </c>
      <c r="G68" s="65"/>
      <c r="H68" s="65" t="str">
        <f t="shared" si="18"/>
        <v>L - Length</v>
      </c>
      <c r="I68" s="65"/>
      <c r="J68" s="65"/>
      <c r="K68" s="65"/>
      <c r="L68" s="65"/>
      <c r="M68" s="65"/>
      <c r="P68" s="362" t="str">
        <f>Export!D4</f>
        <v>SP1</v>
      </c>
    </row>
    <row r="69" spans="2:30">
      <c r="B69" s="51" t="str">
        <f t="shared" si="15"/>
        <v/>
      </c>
      <c r="D69" s="334"/>
      <c r="E69" s="321" t="str">
        <f t="shared" si="16"/>
        <v/>
      </c>
      <c r="G69" s="65"/>
      <c r="H69" s="65" t="str">
        <f t="shared" si="18"/>
        <v>MC - Motor Contribution</v>
      </c>
      <c r="I69" s="65"/>
      <c r="J69" s="65"/>
      <c r="K69" s="65"/>
      <c r="L69" s="65"/>
      <c r="M69" s="65"/>
    </row>
    <row r="70" spans="2:30">
      <c r="B70" s="51" t="str">
        <f t="shared" si="15"/>
        <v/>
      </c>
      <c r="D70" s="334"/>
      <c r="E70" s="321" t="str">
        <f t="shared" si="16"/>
        <v/>
      </c>
      <c r="G70" s="65"/>
      <c r="H70" s="65" t="str">
        <f t="shared" si="18"/>
        <v>N - Number of Conductors</v>
      </c>
      <c r="I70" s="65"/>
      <c r="J70" s="65"/>
      <c r="K70" s="65"/>
      <c r="L70" s="65"/>
      <c r="M70" s="65"/>
    </row>
    <row r="71" spans="2:30">
      <c r="B71" s="51" t="str">
        <f t="shared" si="15"/>
        <v/>
      </c>
      <c r="D71" s="334"/>
      <c r="E71" s="321" t="str">
        <f t="shared" si="16"/>
        <v/>
      </c>
      <c r="G71" s="65"/>
      <c r="H71" s="65" t="str">
        <f t="shared" si="18"/>
        <v>R - Resistance</v>
      </c>
      <c r="I71" s="65"/>
      <c r="J71" s="65"/>
      <c r="K71" s="65"/>
      <c r="L71" s="65"/>
      <c r="M71" s="65"/>
    </row>
    <row r="72" spans="2:30">
      <c r="B72" s="51" t="str">
        <f t="shared" si="15"/>
        <v/>
      </c>
      <c r="D72" s="334"/>
      <c r="E72" s="321" t="str">
        <f t="shared" si="16"/>
        <v/>
      </c>
      <c r="G72" s="65"/>
      <c r="H72" s="65" t="str">
        <f t="shared" si="18"/>
        <v>UA - Utility Adjustment</v>
      </c>
      <c r="I72" s="65"/>
      <c r="J72" s="65"/>
      <c r="K72" s="65"/>
      <c r="L72" s="65"/>
      <c r="M72" s="65"/>
    </row>
    <row r="73" spans="2:30">
      <c r="B73" s="51" t="str">
        <f t="shared" si="15"/>
        <v/>
      </c>
      <c r="D73" s="334"/>
      <c r="E73" s="321" t="str">
        <f t="shared" si="16"/>
        <v/>
      </c>
      <c r="G73" s="65"/>
      <c r="H73" s="65" t="str">
        <f t="shared" si="18"/>
        <v>V - Volts</v>
      </c>
      <c r="I73" s="65"/>
      <c r="J73" s="65"/>
      <c r="K73" s="65"/>
      <c r="L73" s="65"/>
      <c r="M73" s="65"/>
    </row>
    <row r="74" spans="2:30">
      <c r="B74" s="51" t="str">
        <f t="shared" si="15"/>
        <v/>
      </c>
      <c r="D74" s="334"/>
      <c r="E74" s="321" t="str">
        <f t="shared" si="16"/>
        <v/>
      </c>
      <c r="G74" s="65"/>
      <c r="H74" s="65" t="str">
        <f t="shared" si="18"/>
        <v>VA - Volt Amps</v>
      </c>
      <c r="I74" s="65"/>
      <c r="J74" s="65"/>
      <c r="K74" s="65"/>
      <c r="L74" s="65"/>
      <c r="M74" s="65"/>
    </row>
    <row r="75" spans="2:30">
      <c r="B75" s="340" t="s">
        <v>83</v>
      </c>
      <c r="E75" s="321">
        <f>AW100</f>
        <v>4000</v>
      </c>
      <c r="G75" s="65"/>
      <c r="H75" s="65" t="str">
        <f t="shared" si="18"/>
        <v>VD - Voltage Drop</v>
      </c>
      <c r="I75" s="65"/>
      <c r="J75" s="65"/>
      <c r="K75" s="65"/>
      <c r="L75" s="65"/>
      <c r="M75" s="65"/>
    </row>
    <row r="76" spans="2:30">
      <c r="B76" s="51" t="s">
        <v>212</v>
      </c>
      <c r="E76" s="338">
        <f>SUM(E13:E75)</f>
        <v>27345</v>
      </c>
      <c r="G76" s="65"/>
      <c r="H76" s="65" t="str">
        <f t="shared" si="18"/>
        <v xml:space="preserve"> </v>
      </c>
      <c r="I76" s="65"/>
      <c r="J76" s="65"/>
      <c r="K76" s="65"/>
      <c r="L76" s="65"/>
      <c r="M76" s="65"/>
    </row>
    <row r="77" spans="2:30">
      <c r="B77" s="331" t="s">
        <v>66</v>
      </c>
      <c r="C77" s="331"/>
      <c r="D77" s="331"/>
      <c r="E77" s="369" t="s">
        <v>66</v>
      </c>
      <c r="G77" s="65"/>
      <c r="H77" s="65" t="str">
        <f t="shared" si="18"/>
        <v xml:space="preserve"> </v>
      </c>
      <c r="I77" s="65"/>
      <c r="J77" s="65"/>
      <c r="K77" s="65"/>
      <c r="L77" s="65"/>
      <c r="M77" s="65"/>
    </row>
    <row r="78" spans="2:30">
      <c r="B78" s="331" t="s">
        <v>66</v>
      </c>
      <c r="C78" s="331"/>
      <c r="D78" s="331"/>
      <c r="E78" s="369" t="s">
        <v>66</v>
      </c>
      <c r="G78" s="65"/>
      <c r="H78" s="65" t="str">
        <f t="shared" si="18"/>
        <v xml:space="preserve"> </v>
      </c>
      <c r="I78" s="65"/>
      <c r="J78" s="65"/>
      <c r="K78" s="65"/>
      <c r="L78" s="65"/>
      <c r="M78" s="65"/>
    </row>
    <row r="79" spans="2:30">
      <c r="B79" s="331" t="s">
        <v>66</v>
      </c>
      <c r="C79" s="331"/>
      <c r="D79" s="331"/>
      <c r="E79" s="369" t="s">
        <v>66</v>
      </c>
      <c r="G79" s="65"/>
      <c r="H79" s="65" t="str">
        <f t="shared" si="18"/>
        <v xml:space="preserve"> </v>
      </c>
      <c r="I79" s="65"/>
      <c r="J79" s="65"/>
      <c r="K79" s="65"/>
      <c r="L79" s="65"/>
      <c r="M79" s="65"/>
    </row>
    <row r="80" spans="2:30">
      <c r="B80" s="331" t="s">
        <v>66</v>
      </c>
      <c r="C80" s="331"/>
      <c r="D80" s="331"/>
      <c r="E80" s="369" t="s">
        <v>66</v>
      </c>
      <c r="G80" s="65"/>
      <c r="H80" s="65"/>
      <c r="I80" s="65"/>
      <c r="J80" s="65"/>
      <c r="K80" s="65"/>
      <c r="L80" s="65"/>
      <c r="M80" s="65"/>
    </row>
    <row r="81" spans="2:53">
      <c r="B81" s="331" t="s">
        <v>66</v>
      </c>
      <c r="C81" s="331"/>
      <c r="D81" s="331"/>
      <c r="E81" s="369" t="s">
        <v>66</v>
      </c>
      <c r="G81" s="65"/>
      <c r="H81" s="65"/>
      <c r="I81" s="65"/>
      <c r="J81" s="65"/>
      <c r="K81" s="65"/>
      <c r="L81" s="65"/>
      <c r="M81" s="65"/>
    </row>
    <row r="82" spans="2:53">
      <c r="B82" s="331" t="s">
        <v>66</v>
      </c>
      <c r="C82" s="331"/>
      <c r="D82" s="331"/>
      <c r="E82" s="369" t="s">
        <v>66</v>
      </c>
      <c r="G82" s="65"/>
      <c r="H82" s="65"/>
      <c r="I82" s="65"/>
      <c r="J82" s="65"/>
      <c r="K82" s="65"/>
      <c r="L82" s="65"/>
      <c r="M82" s="65"/>
    </row>
    <row r="83" spans="2:53" ht="14.1" customHeight="1">
      <c r="B83" s="331" t="str">
        <f>AJ94</f>
        <v xml:space="preserve">TOTAL AMPS ( 27,345 VA ÷ 240 V ) = </v>
      </c>
      <c r="C83" s="331"/>
      <c r="D83" s="331"/>
      <c r="E83" s="363">
        <f>AK92</f>
        <v>114</v>
      </c>
      <c r="G83" s="65"/>
      <c r="H83" s="65"/>
      <c r="I83" s="65"/>
      <c r="J83" s="65"/>
      <c r="K83" s="65"/>
      <c r="L83" s="65"/>
      <c r="M83" s="65"/>
      <c r="AH83" s="51" t="s">
        <v>82</v>
      </c>
    </row>
    <row r="84" spans="2:53" ht="14.1" customHeight="1">
      <c r="B84" s="331" t="str">
        <f>AJ114</f>
        <v>FUTURE AMPS ( 0% )</v>
      </c>
      <c r="C84" s="331"/>
      <c r="D84" s="331"/>
      <c r="E84" s="363">
        <f>ROUND(E83*Input!E21/100,0)</f>
        <v>0</v>
      </c>
      <c r="G84" s="65"/>
      <c r="H84" s="65" t="s">
        <v>570</v>
      </c>
      <c r="I84" s="65"/>
      <c r="J84" s="65"/>
      <c r="K84" s="65"/>
      <c r="L84" s="65"/>
      <c r="M84" s="65"/>
      <c r="AB84" s="47" t="s">
        <v>501</v>
      </c>
      <c r="AF84" s="51" t="s">
        <v>488</v>
      </c>
      <c r="AG84" s="51">
        <f>Input!J51*1000</f>
        <v>4000</v>
      </c>
      <c r="AH84" s="334" t="str">
        <f t="shared" ref="AH84:AH89" si="19">TEXT(AG84,"#,##0")</f>
        <v>4,000</v>
      </c>
      <c r="AI84" s="51" t="s">
        <v>499</v>
      </c>
      <c r="AJ84" s="51" t="str">
        <f>CONCATENATE(AB84,AH84,AI84,AH84,AF84)</f>
        <v>(1) AC LOAD ( 4,000 VA X 100% ) = 4,000 VA</v>
      </c>
      <c r="AK84" s="51">
        <f>AG84</f>
        <v>4000</v>
      </c>
    </row>
    <row r="85" spans="2:53" ht="14.1" customHeight="1">
      <c r="B85" s="323" t="s">
        <v>112</v>
      </c>
      <c r="E85" s="349">
        <f>SUM(E83:E84)</f>
        <v>114</v>
      </c>
      <c r="G85" s="65"/>
      <c r="H85" s="65" t="s">
        <v>569</v>
      </c>
      <c r="I85" s="65"/>
      <c r="J85" s="65"/>
      <c r="K85" s="65"/>
      <c r="L85" s="65"/>
      <c r="M85" s="65"/>
      <c r="AB85" s="60" t="str">
        <f>IF(S1&lt;&gt;2002,"(2) HEAT PUMPS NO SUPP ( ","(2) HEAT PUMPS AND SUPP ( ")</f>
        <v xml:space="preserve">(2) HEAT PUMPS NO SUPP ( </v>
      </c>
      <c r="AF85" s="51" t="s">
        <v>488</v>
      </c>
      <c r="AG85" s="51">
        <f>Input!J54*1000</f>
        <v>0</v>
      </c>
      <c r="AH85" s="334" t="str">
        <f t="shared" si="19"/>
        <v>0</v>
      </c>
      <c r="AI85" s="51" t="s">
        <v>499</v>
      </c>
      <c r="AJ85" s="51" t="str">
        <f>CONCATENATE(AB85,AH85,AI85,AH85,AF85)</f>
        <v>(2) HEAT PUMPS NO SUPP ( 0 VA X 100% ) = 0 VA</v>
      </c>
      <c r="AK85" s="51">
        <f>AG85</f>
        <v>0</v>
      </c>
    </row>
    <row r="86" spans="2:53" ht="14.1" customHeight="1">
      <c r="B86" s="323"/>
      <c r="E86" s="363"/>
      <c r="G86" s="65"/>
      <c r="H86" s="65"/>
      <c r="I86" s="65"/>
      <c r="J86" s="65"/>
      <c r="K86" s="65"/>
      <c r="L86" s="65"/>
      <c r="M86" s="65"/>
      <c r="AB86" s="47" t="str">
        <f>IF(S1=2008,"(3) HEAT PUMPS ( ","(3) ELECTRIC THERMAL ( ")</f>
        <v xml:space="preserve">(3) HEAT PUMPS ( </v>
      </c>
      <c r="AF86" s="51" t="s">
        <v>488</v>
      </c>
      <c r="AG86" s="51">
        <f>Input!J58*1000</f>
        <v>0</v>
      </c>
      <c r="AH86" s="334" t="str">
        <f t="shared" si="19"/>
        <v>0</v>
      </c>
      <c r="AI86" s="51" t="s">
        <v>499</v>
      </c>
      <c r="AJ86" s="51" t="str">
        <f>CONCATENATE(AB86,AH86,AI86,AH86,AF86)</f>
        <v>(3) HEAT PUMPS ( 0 VA X 100% ) = 0 VA</v>
      </c>
      <c r="AK86" s="51">
        <f>AG86</f>
        <v>0</v>
      </c>
      <c r="AN86" s="364" t="str">
        <f>IF(S1=2008,"      SUPPLEMENTAL HEAT ( ","(3) ELECTRIC THERMAL ( ")</f>
        <v xml:space="preserve">      SUPPLEMENTAL HEAT ( </v>
      </c>
      <c r="AP86" s="322">
        <f>Input!J61*1000</f>
        <v>0</v>
      </c>
      <c r="AQ86" s="334" t="str">
        <f>TEXT(AP86,"#,##0")</f>
        <v>0</v>
      </c>
      <c r="AR86" s="51" t="s">
        <v>500</v>
      </c>
      <c r="AS86" s="51" t="str">
        <f>CONCATENATE(AN86,AQ86,AR86)</f>
        <v xml:space="preserve">      SUPPLEMENTAL HEAT ( 0 VA X 65% ) = </v>
      </c>
      <c r="AW86" s="51">
        <f>ROUND(AP86*0.65,0)</f>
        <v>0</v>
      </c>
      <c r="AX86" s="334" t="str">
        <f>TEXT(AW86,"#,##0")</f>
        <v>0</v>
      </c>
      <c r="AY86" s="51" t="s">
        <v>488</v>
      </c>
      <c r="BA86" s="51" t="str">
        <f>CONCATENATE(AN86,AQ86,AR86,AX86,AY86)</f>
        <v xml:space="preserve">      SUPPLEMENTAL HEAT ( 0 VA X 65% ) = 0 VA</v>
      </c>
    </row>
    <row r="87" spans="2:53" ht="14.1" customHeight="1">
      <c r="B87" s="323"/>
      <c r="AB87" s="60" t="str">
        <f>IF(S1=2002,"(4) CENTRAL ELECTRIC ( ",IF(S1=2005,"(4) HEAT PUMPS ( ","(4) ELECTRIC SPACE ( "))</f>
        <v xml:space="preserve">(4) ELECTRIC SPACE ( </v>
      </c>
      <c r="AF87" s="51" t="s">
        <v>488</v>
      </c>
      <c r="AG87" s="51">
        <f>Input!J64*1000</f>
        <v>0</v>
      </c>
      <c r="AH87" s="334" t="str">
        <f t="shared" si="19"/>
        <v>0</v>
      </c>
      <c r="AI87" s="51" t="str">
        <f>IF(S1&lt;&gt;2005," VA X 65% ) = "," VA X 100% ) = ")</f>
        <v xml:space="preserve"> VA X 65% ) = </v>
      </c>
      <c r="AJ87" s="51" t="str">
        <f>CONCATENATE(AB87,AH87,AI87,AH87,AF87)</f>
        <v>(4) ELECTRIC SPACE ( 0 VA X 65% ) = 0 VA</v>
      </c>
      <c r="AK87" s="51">
        <f>IF(S1&lt;&gt;2005,ROUND((AG87*0.65),0),AG87)</f>
        <v>0</v>
      </c>
      <c r="AL87" s="334" t="str">
        <f>TEXT(AK87,"#,##0")</f>
        <v>0</v>
      </c>
      <c r="AN87" s="360" t="str">
        <f>CONCATENATE(AB87,AH87,AI87,AL87,AF87)</f>
        <v>(4) ELECTRIC SPACE ( 0 VA X 65% ) = 0 VA</v>
      </c>
    </row>
    <row r="88" spans="2:53" ht="14.1" customHeight="1">
      <c r="AB88" s="47" t="s">
        <v>502</v>
      </c>
      <c r="AF88" s="51" t="s">
        <v>488</v>
      </c>
      <c r="AG88" s="51">
        <f>Input!J71*1000</f>
        <v>0</v>
      </c>
      <c r="AH88" s="334" t="str">
        <f t="shared" si="19"/>
        <v>0</v>
      </c>
      <c r="AI88" s="51" t="str">
        <f>IF(S1&lt;&gt;2008," VA X 65% ) = "," VA X 40% ) = ")</f>
        <v xml:space="preserve"> VA X 40% ) = </v>
      </c>
      <c r="AJ88" s="51" t="str">
        <f>CONCATENATE(AB88,AH88,AI88,AL88,AF88)</f>
        <v>(5) SPACE HEATING ( 0 VA X 40% ) = 0 VA</v>
      </c>
      <c r="AK88" s="51">
        <f>IF(S1&lt;&gt;2008,(AG88*0.65),(AG88*0.4))</f>
        <v>0</v>
      </c>
      <c r="AL88" s="334" t="str">
        <f>TEXT(AK88,"#,##0")</f>
        <v>0</v>
      </c>
      <c r="AN88" s="364"/>
    </row>
    <row r="89" spans="2:53" ht="14.1" customHeight="1">
      <c r="AB89" s="47" t="s">
        <v>503</v>
      </c>
      <c r="AF89" s="51" t="s">
        <v>488</v>
      </c>
      <c r="AG89" s="51">
        <f>Input!J75*1000</f>
        <v>0</v>
      </c>
      <c r="AH89" s="334" t="str">
        <f t="shared" si="19"/>
        <v>0</v>
      </c>
      <c r="AI89" s="51" t="str">
        <f>IF(S1=2008," VA X 100% ) = "," VA X 40% ) = ")</f>
        <v xml:space="preserve"> VA X 100% ) = </v>
      </c>
      <c r="AJ89" s="51" t="str">
        <f>CONCATENATE(AB89,AH89,AI89,AL89,AF89)</f>
        <v>(6) SPACE HEATING (0 VA X 100% ) = 0 VA</v>
      </c>
      <c r="AK89" s="51">
        <f>IF(S1=2008,AG89,(AG89*0.4))</f>
        <v>0</v>
      </c>
      <c r="AL89" s="334" t="str">
        <f>TEXT(AK89,"#,##0")</f>
        <v>0</v>
      </c>
      <c r="AN89" s="360" t="s">
        <v>549</v>
      </c>
      <c r="AP89" s="322">
        <f>Input!J67*1000</f>
        <v>0</v>
      </c>
      <c r="AQ89" s="334" t="str">
        <f>TEXT(AP89,"#,##0")</f>
        <v>0</v>
      </c>
      <c r="AR89" s="51" t="s">
        <v>500</v>
      </c>
      <c r="AS89" s="51" t="str">
        <f>CONCATENATE(AN89,AQ89,AR89)</f>
        <v xml:space="preserve">      SUPPLEMENTAL HEAT ( 0 VA X 65% ) = </v>
      </c>
      <c r="AW89" s="51">
        <f>ROUND(AP89*0.65,0)</f>
        <v>0</v>
      </c>
      <c r="AX89" s="334" t="str">
        <f>TEXT(AW89,"#,##0")</f>
        <v>0</v>
      </c>
      <c r="AY89" s="51" t="s">
        <v>488</v>
      </c>
      <c r="BA89" s="51" t="str">
        <f>CONCATENATE(AN89,AQ89,AR89,AX89,AY89)</f>
        <v xml:space="preserve">      SUPPLEMENTAL HEAT ( 0 VA X 65% ) = 0 VA</v>
      </c>
    </row>
    <row r="90" spans="2:53" ht="14.1" customHeight="1">
      <c r="AK90" s="51">
        <f>MAX(AK84:AK89)</f>
        <v>4000</v>
      </c>
    </row>
    <row r="91" spans="2:53" ht="14.1" customHeight="1"/>
    <row r="92" spans="2:53" ht="14.1" customHeight="1">
      <c r="AB92" s="321">
        <f>'Std Calcs'!E76</f>
        <v>27345</v>
      </c>
      <c r="AG92" s="334" t="str">
        <f>TEXT(AB92,"#,##0")</f>
        <v>27,345</v>
      </c>
      <c r="AH92" s="51" t="str">
        <f>IF(Input!J9=1," VA ÷ "," VA ÷ 1.732 ÷ ")</f>
        <v xml:space="preserve"> VA ÷ </v>
      </c>
      <c r="AI92" s="365">
        <f>Input!Q4</f>
        <v>240</v>
      </c>
      <c r="AJ92" s="51" t="s">
        <v>415</v>
      </c>
      <c r="AK92" s="49">
        <f>IF(Input!J9=1,ROUND((AB92/AI92),0),ROUND((AB92/1.732/AI92),0))</f>
        <v>114</v>
      </c>
      <c r="AN92" s="322" t="s">
        <v>16</v>
      </c>
    </row>
    <row r="93" spans="2:53" ht="14.1" customHeight="1">
      <c r="AQ93" s="51">
        <v>1</v>
      </c>
      <c r="AR93" s="334">
        <f t="shared" ref="AR93:AR98" si="20">AK84</f>
        <v>4000</v>
      </c>
      <c r="AS93" s="334"/>
      <c r="AT93" s="51">
        <f t="shared" ref="AT93:AT98" si="21">SUM(AR93:AS93)</f>
        <v>4000</v>
      </c>
      <c r="AU93" s="51">
        <f t="shared" ref="AU93:AU98" si="22">AT93</f>
        <v>4000</v>
      </c>
      <c r="AV93" s="51">
        <f>IF(AU93=MAX(AU$93:AU$98),1,0)</f>
        <v>1</v>
      </c>
      <c r="AW93" s="51">
        <f t="shared" ref="AW93:AW98" si="23">IF(AV93&gt;0,AU93,0)</f>
        <v>4000</v>
      </c>
    </row>
    <row r="94" spans="2:53" ht="14.1" customHeight="1">
      <c r="AG94" s="51" t="s">
        <v>504</v>
      </c>
      <c r="AJ94" s="51" t="str">
        <f>CONCATENATE(AG94,AG92,AH92,AI92,AJ92)</f>
        <v xml:space="preserve">TOTAL AMPS ( 27,345 VA ÷ 240 V ) = </v>
      </c>
      <c r="AQ94" s="51">
        <v>2</v>
      </c>
      <c r="AR94" s="334">
        <f t="shared" si="20"/>
        <v>0</v>
      </c>
      <c r="AS94" s="334"/>
      <c r="AT94" s="51">
        <f t="shared" si="21"/>
        <v>0</v>
      </c>
      <c r="AU94" s="51">
        <f t="shared" si="22"/>
        <v>0</v>
      </c>
      <c r="AV94" s="51">
        <f>IF(AV93&gt;0,0,IF(AU94=MAX(AU$93:AU$98),1,0))</f>
        <v>0</v>
      </c>
      <c r="AW94" s="51">
        <f t="shared" si="23"/>
        <v>0</v>
      </c>
    </row>
    <row r="95" spans="2:53" ht="14.1" customHeight="1">
      <c r="AB95" s="51" t="s">
        <v>25</v>
      </c>
      <c r="AQ95" s="51">
        <v>3</v>
      </c>
      <c r="AR95" s="334">
        <f t="shared" si="20"/>
        <v>0</v>
      </c>
      <c r="AS95" s="334">
        <f>IF(S1&lt;&gt;2008,0,AW86)</f>
        <v>0</v>
      </c>
      <c r="AT95" s="51">
        <f t="shared" si="21"/>
        <v>0</v>
      </c>
      <c r="AU95" s="51">
        <f t="shared" si="22"/>
        <v>0</v>
      </c>
      <c r="AV95" s="51">
        <f>IF(SUM(AV93:AV94)&gt;0,0,IF(AU95=MAX(AU$93:AU$98),1,0))</f>
        <v>0</v>
      </c>
      <c r="AW95" s="51">
        <f t="shared" si="23"/>
        <v>0</v>
      </c>
    </row>
    <row r="96" spans="2:53" ht="14.1" customHeight="1">
      <c r="AA96" s="51" t="s">
        <v>506</v>
      </c>
      <c r="AB96" s="51">
        <f>IF(OR(M22=3000,M22&gt;3000),3000,M22)</f>
        <v>3000</v>
      </c>
      <c r="AD96" s="51" t="str">
        <f>TEXT(AB96,"#,##0")</f>
        <v>3,000</v>
      </c>
      <c r="AE96" s="51" t="s">
        <v>507</v>
      </c>
      <c r="AJ96" s="51" t="str">
        <f>CONCATENATE(AA96,AD96,AE96)</f>
        <v xml:space="preserve">FIRST 3,000 VA @ 100% ( 3,000 VA X 1.00 ) = </v>
      </c>
      <c r="AQ96" s="51">
        <v>4</v>
      </c>
      <c r="AR96" s="334">
        <f t="shared" si="20"/>
        <v>0</v>
      </c>
      <c r="AS96" s="334">
        <f>IF(S1=2002,0,IF(S1=2008,0,AW89))</f>
        <v>0</v>
      </c>
      <c r="AT96" s="51">
        <f t="shared" si="21"/>
        <v>0</v>
      </c>
      <c r="AU96" s="51">
        <f t="shared" si="22"/>
        <v>0</v>
      </c>
      <c r="AV96" s="51">
        <f>IF(SUM(AV93:AV95)&gt;0,0,IF(AU96=MAX(AU$93:AU$98),1,0))</f>
        <v>0</v>
      </c>
      <c r="AW96" s="51">
        <f t="shared" si="23"/>
        <v>0</v>
      </c>
    </row>
    <row r="97" spans="16:49" ht="14.1" customHeight="1">
      <c r="AQ97" s="51">
        <v>5</v>
      </c>
      <c r="AR97" s="334">
        <f t="shared" si="20"/>
        <v>0</v>
      </c>
      <c r="AS97" s="334"/>
      <c r="AT97" s="51">
        <f t="shared" si="21"/>
        <v>0</v>
      </c>
      <c r="AU97" s="51">
        <f t="shared" si="22"/>
        <v>0</v>
      </c>
      <c r="AV97" s="51">
        <f>IF(SUM(AV93:AV96)&gt;0,0,IF(AU97=MAX(AU$93:AU$98),1,0))</f>
        <v>0</v>
      </c>
      <c r="AW97" s="51">
        <f t="shared" si="23"/>
        <v>0</v>
      </c>
    </row>
    <row r="98" spans="16:49" ht="14.1" customHeight="1">
      <c r="AA98" s="51" t="s">
        <v>508</v>
      </c>
      <c r="AB98" s="50">
        <f>M22</f>
        <v>3300</v>
      </c>
      <c r="AD98" s="51">
        <v>3000</v>
      </c>
      <c r="AE98" s="51">
        <f>AB98-AD98</f>
        <v>300</v>
      </c>
      <c r="AF98" s="334" t="str">
        <f>TEXT(AE98,"#,##0")</f>
        <v>300</v>
      </c>
      <c r="AG98" s="51" t="s">
        <v>485</v>
      </c>
      <c r="AJ98" s="51" t="str">
        <f>CONCATENATE(AA98,AF98,AG98)</f>
        <v xml:space="preserve">3,000-120,000 VA @ 35% ( 300 VA X 0.35 ) = </v>
      </c>
      <c r="AK98" s="51">
        <f>AE98*0.35</f>
        <v>105</v>
      </c>
      <c r="AQ98" s="51">
        <v>6</v>
      </c>
      <c r="AR98" s="334">
        <f t="shared" si="20"/>
        <v>0</v>
      </c>
      <c r="AS98" s="334"/>
      <c r="AT98" s="51">
        <f t="shared" si="21"/>
        <v>0</v>
      </c>
      <c r="AU98" s="51">
        <f t="shared" si="22"/>
        <v>0</v>
      </c>
      <c r="AV98" s="51">
        <f>IF(SUM(AV93:AV97)&gt;0,0,IF(AU98=MAX(AU$93:AU$98),1,0))</f>
        <v>0</v>
      </c>
      <c r="AW98" s="51">
        <f t="shared" si="23"/>
        <v>0</v>
      </c>
    </row>
    <row r="99" spans="16:49" ht="14.1" customHeight="1"/>
    <row r="100" spans="16:49" ht="14.1" customHeight="1">
      <c r="AA100" s="51" t="s">
        <v>509</v>
      </c>
      <c r="AB100" s="51">
        <f>IF(AB98-120000&lt;0,0,(AB98-120000))</f>
        <v>0</v>
      </c>
      <c r="AE100" s="51" t="str">
        <f>TEXT(AB100,"#,##0")</f>
        <v>0</v>
      </c>
      <c r="AG100" s="51" t="s">
        <v>486</v>
      </c>
      <c r="AJ100" s="51" t="str">
        <f>CONCATENATE(AA100,AE100,AG100)</f>
        <v xml:space="preserve">OVER 120,000 VA @ 25% ( 0 VA X 0.25 ) = </v>
      </c>
      <c r="AK100" s="51">
        <f>IF(AB100=0,0,AB100*0.25)</f>
        <v>0</v>
      </c>
      <c r="AW100" s="51">
        <f>MAX(AW93:AW98)</f>
        <v>4000</v>
      </c>
    </row>
    <row r="101" spans="16:49" ht="14.1" customHeight="1">
      <c r="AB101" s="51" t="s">
        <v>55</v>
      </c>
    </row>
    <row r="102" spans="16:49" ht="14.1" customHeight="1">
      <c r="Y102" s="51" t="str">
        <f>IF(Input!J9=1,"70% OF TABLE ","100% OF TABLE ")</f>
        <v xml:space="preserve">70% OF TABLE </v>
      </c>
      <c r="AA102" s="51" t="str">
        <f>IF(AND(S1&lt;&gt;2002,Input!J9=1),"70% OF TABLE 220.55 ( ",IF(AND(S1=2002,Input!J9=1),"70% OF TABLE 220.19 ( ",IF(AND(S1&lt;&gt;2002,Input!J9&lt;&gt;1),"100% OF TABLE 220.55 ( ","100% OF TABLE 220.19 ( ")))</f>
        <v xml:space="preserve">70% OF TABLE 220.55 ( </v>
      </c>
      <c r="AB102" s="51">
        <f>Tables!C14*1000</f>
        <v>0</v>
      </c>
      <c r="AE102" s="51" t="str">
        <f>TEXT(AB102,"#,##0")</f>
        <v>0</v>
      </c>
      <c r="AG102" s="51" t="str">
        <f>IF(Input!J9=1," VA X 0.70 ) = "," VA X 1.00 ) = ")</f>
        <v xml:space="preserve"> VA X 0.70 ) = </v>
      </c>
      <c r="AJ102" s="51" t="str">
        <f>CONCATENATE(AA102,AE102,AG102)</f>
        <v xml:space="preserve">70% OF TABLE 220.55 ( 0 VA X 0.70 ) = </v>
      </c>
      <c r="AK102" s="51">
        <f>IF(Input!J9=1,AB102*0.7,AB102)</f>
        <v>0</v>
      </c>
    </row>
    <row r="103" spans="16:49" ht="14.1" customHeight="1">
      <c r="Y103" s="51" t="str">
        <f>IF(Input!J9=1,"70% OF TABLE ","100% OF TABLE ")</f>
        <v xml:space="preserve">70% OF TABLE </v>
      </c>
      <c r="AB103" s="51" t="s">
        <v>86</v>
      </c>
      <c r="AF103" s="51">
        <f>Tables!C54/100</f>
        <v>1</v>
      </c>
    </row>
    <row r="104" spans="16:49" ht="14.1" customHeight="1">
      <c r="AA104" s="51" t="str">
        <f>IF(AND(S1&lt;&gt;2002,Input!J9=1),"70% OF TABLE 220.54 ( ",IF(AND(S1=2002,Input!J9=1),"70% OF TABLE 220.18 ( ",IF(AND(S1&lt;&gt;2002,Input!J9&lt;&gt;1),"100% OF TABLE 220.54 ( ","100% OF TABLE 220.18 ( ")))</f>
        <v xml:space="preserve">70% OF TABLE 220.54 ( </v>
      </c>
      <c r="AB104" s="321">
        <f>Input!E32*Input!F32*1000</f>
        <v>5000</v>
      </c>
      <c r="AE104" s="51" t="str">
        <f>TEXT(AB104,"#,##0")</f>
        <v>5,000</v>
      </c>
      <c r="AF104" s="334" t="str">
        <f>TEXT(AF103,"0.00")</f>
        <v>1.00</v>
      </c>
      <c r="AG104" s="51" t="str">
        <f>IF(Input!J9=1," VA X 0.70 ) = "," VA X 1.00 ) = ")</f>
        <v xml:space="preserve"> VA X 0.70 ) = </v>
      </c>
      <c r="AH104" s="51" t="s">
        <v>510</v>
      </c>
      <c r="AJ104" s="366" t="str">
        <f>CONCATENATE(AA104,AE104,AH104,AF104,AG104)</f>
        <v xml:space="preserve">70% OF TABLE 220.54 ( 5,000 VA 1.00 VA X 0.70 ) = </v>
      </c>
      <c r="AK104" s="51">
        <f>IF(Input!J9=1,AB104*0.7*AF103,AB104*AF103)</f>
        <v>3500</v>
      </c>
      <c r="AL104" s="322">
        <f>AK104*AF104</f>
        <v>3500</v>
      </c>
      <c r="AM104" s="322">
        <f>AL104*0.7</f>
        <v>2450</v>
      </c>
    </row>
    <row r="105" spans="16:49" ht="14.1" customHeight="1">
      <c r="AB105" s="51" t="s">
        <v>87</v>
      </c>
    </row>
    <row r="106" spans="16:49" ht="14.1" customHeight="1">
      <c r="AB106" s="50">
        <f>Tables!H165</f>
        <v>2280</v>
      </c>
      <c r="AE106" s="51" t="str">
        <f>TEXT(AB106,"#,##0")</f>
        <v>2,280</v>
      </c>
      <c r="AG106" s="51" t="s">
        <v>85</v>
      </c>
      <c r="AJ106" s="51" t="str">
        <f>CONCATENATE(AE106,AG106)</f>
        <v xml:space="preserve">2,280 VA X 1.00 = </v>
      </c>
      <c r="AK106" s="335">
        <f>AB106</f>
        <v>2280</v>
      </c>
    </row>
    <row r="107" spans="16:49" ht="14.1" customHeight="1"/>
    <row r="108" spans="16:49" ht="14.1" customHeight="1">
      <c r="AB108" s="51" t="s">
        <v>88</v>
      </c>
    </row>
    <row r="109" spans="16:49" ht="14.1" customHeight="1">
      <c r="AA109" s="51" t="s">
        <v>511</v>
      </c>
      <c r="AB109" s="50">
        <f>M39</f>
        <v>8885</v>
      </c>
      <c r="AE109" s="51" t="str">
        <f>TEXT(AB109,"#,##0")</f>
        <v>8,885</v>
      </c>
      <c r="AG109" s="51" t="str">
        <f>IF(Input!J9=1," VA ÷ "," VA ÷ 1.732 ÷ ")</f>
        <v xml:space="preserve"> VA ÷ </v>
      </c>
      <c r="AH109" s="49">
        <f>Input!Q4</f>
        <v>240</v>
      </c>
      <c r="AI109" s="49" t="s">
        <v>415</v>
      </c>
      <c r="AJ109" s="51" t="str">
        <f>CONCATENATE(AA109,AE109,AG109,AH109,AI109)</f>
        <v xml:space="preserve">NEUTRAL LOAD ( 8,885 VA ÷ 240 V ) = </v>
      </c>
      <c r="AL109" s="322">
        <f>IF(Input!J9=1,ROUND((AE109/AH109),0),ROUND((AE109/1.732/AH109),0))</f>
        <v>37</v>
      </c>
    </row>
    <row r="110" spans="16:49" ht="14.1" customHeight="1">
      <c r="P110" s="51" t="s">
        <v>523</v>
      </c>
      <c r="R110" s="51">
        <v>1</v>
      </c>
    </row>
    <row r="111" spans="16:49" ht="14.1" customHeight="1">
      <c r="Q111" s="51" t="s">
        <v>249</v>
      </c>
      <c r="R111" s="51">
        <f>IF(Input!J3="YES",2,"")</f>
        <v>2</v>
      </c>
    </row>
    <row r="112" spans="16:49" ht="14.1" customHeight="1">
      <c r="Q112" s="51" t="s">
        <v>524</v>
      </c>
      <c r="R112" s="51">
        <f>IF(Input!J6="YES",3,"")</f>
        <v>3</v>
      </c>
      <c r="AB112" s="51" t="s">
        <v>505</v>
      </c>
    </row>
    <row r="113" spans="18:36" ht="14.1" customHeight="1">
      <c r="R113" s="51">
        <f>IF(AND(R111=2,R112=3),4,"")</f>
        <v>4</v>
      </c>
      <c r="AB113" s="49">
        <f>AK92</f>
        <v>114</v>
      </c>
      <c r="AE113" s="51" t="str">
        <f>TEXT(AB113,"#,##0")</f>
        <v>114</v>
      </c>
      <c r="AG113" s="51" t="s">
        <v>290</v>
      </c>
      <c r="AH113" s="51">
        <f>Input!E21/100</f>
        <v>0</v>
      </c>
      <c r="AI113" s="51" t="s">
        <v>19</v>
      </c>
      <c r="AJ113" s="51" t="str">
        <f>CONCATENATE(AE113,AG113,AH113,AI113)</f>
        <v xml:space="preserve">114 A X 0 = </v>
      </c>
    </row>
    <row r="114" spans="18:36" ht="14.1" customHeight="1">
      <c r="AE114" s="51" t="s">
        <v>289</v>
      </c>
      <c r="AG114" s="51" t="s">
        <v>291</v>
      </c>
      <c r="AH114" s="51">
        <f>Input!E21</f>
        <v>0</v>
      </c>
      <c r="AI114" s="51" t="s">
        <v>292</v>
      </c>
      <c r="AJ114" s="51" t="str">
        <f>CONCATENATE(AE114,AG114,AH114,AI114)</f>
        <v>FUTURE AMPS ( 0% )</v>
      </c>
    </row>
    <row r="115" spans="18:36" ht="14.1" customHeight="1"/>
    <row r="116" spans="18:36" ht="14.1" customHeight="1"/>
    <row r="117" spans="18:36" ht="14.1" customHeight="1">
      <c r="R117" s="51">
        <f>MAX(R110:R113)</f>
        <v>4</v>
      </c>
      <c r="T117" s="51">
        <v>1</v>
      </c>
      <c r="V117" s="51">
        <v>2</v>
      </c>
      <c r="X117" s="51">
        <v>3</v>
      </c>
      <c r="Z117" s="51">
        <v>4</v>
      </c>
    </row>
    <row r="118" spans="18:36" ht="14.1" customHeight="1"/>
    <row r="119" spans="18:36" ht="14.1" customHeight="1">
      <c r="R119" s="51" t="str">
        <f t="shared" ref="R119:R136" si="24">IF(R$117=1,T119,IF(R$117=2,V119,IF(R$117=3,X119,IF(R$117=4,Z119,99))))</f>
        <v>A - Amps</v>
      </c>
      <c r="T119" s="51" t="s">
        <v>456</v>
      </c>
      <c r="V119" s="51" t="s">
        <v>456</v>
      </c>
      <c r="X119" s="51" t="s">
        <v>456</v>
      </c>
      <c r="Z119" s="51" t="s">
        <v>456</v>
      </c>
    </row>
    <row r="120" spans="18:36" ht="14.1" customHeight="1">
      <c r="R120" s="51" t="str">
        <f t="shared" si="24"/>
        <v>AFC - Available Fault Current</v>
      </c>
      <c r="T120" s="51" t="s">
        <v>468</v>
      </c>
      <c r="V120" s="51" t="s">
        <v>462</v>
      </c>
      <c r="X120" s="51" t="s">
        <v>457</v>
      </c>
      <c r="Z120" s="51" t="s">
        <v>457</v>
      </c>
    </row>
    <row r="121" spans="18:36" ht="14.1" customHeight="1">
      <c r="R121" s="51" t="str">
        <f t="shared" si="24"/>
        <v>C - Conductor Constance</v>
      </c>
      <c r="T121" s="51" t="s">
        <v>467</v>
      </c>
      <c r="V121" s="51" t="s">
        <v>465</v>
      </c>
      <c r="X121" s="51" t="s">
        <v>458</v>
      </c>
      <c r="Z121" s="51" t="s">
        <v>458</v>
      </c>
    </row>
    <row r="122" spans="18:36" ht="14.1" customHeight="1">
      <c r="R122" s="51" t="str">
        <f t="shared" si="24"/>
        <v>CF - Conductor Factor</v>
      </c>
      <c r="T122" s="51" t="s">
        <v>66</v>
      </c>
      <c r="V122" s="51" t="s">
        <v>467</v>
      </c>
      <c r="X122" s="51" t="s">
        <v>459</v>
      </c>
      <c r="Z122" s="51" t="s">
        <v>459</v>
      </c>
    </row>
    <row r="123" spans="18:36" ht="14.1" customHeight="1">
      <c r="R123" s="51" t="str">
        <f t="shared" si="24"/>
        <v>CLC - Conductor Let Through Current</v>
      </c>
      <c r="T123" s="51" t="s">
        <v>66</v>
      </c>
      <c r="V123" s="51" t="s">
        <v>468</v>
      </c>
      <c r="X123" s="51" t="s">
        <v>460</v>
      </c>
      <c r="Z123" s="51" t="s">
        <v>460</v>
      </c>
    </row>
    <row r="124" spans="18:36" ht="14.1" customHeight="1">
      <c r="R124" s="51" t="str">
        <f t="shared" si="24"/>
        <v>CM - Conductor Multiplier</v>
      </c>
      <c r="T124" s="51" t="s">
        <v>66</v>
      </c>
      <c r="V124" s="51" t="s">
        <v>469</v>
      </c>
      <c r="X124" s="51" t="s">
        <v>461</v>
      </c>
      <c r="Z124" s="51" t="s">
        <v>461</v>
      </c>
    </row>
    <row r="125" spans="18:36" ht="14.1" customHeight="1">
      <c r="R125" s="51" t="str">
        <f t="shared" si="24"/>
        <v>L - Length</v>
      </c>
      <c r="T125" s="51" t="s">
        <v>66</v>
      </c>
      <c r="V125" s="51" t="s">
        <v>66</v>
      </c>
      <c r="X125" s="51" t="s">
        <v>462</v>
      </c>
      <c r="Z125" s="51" t="s">
        <v>462</v>
      </c>
    </row>
    <row r="126" spans="18:36" ht="14.1" customHeight="1">
      <c r="R126" s="51" t="str">
        <f t="shared" si="24"/>
        <v>MC - Motor Contribution</v>
      </c>
      <c r="T126" s="51" t="s">
        <v>66</v>
      </c>
      <c r="V126" s="51" t="s">
        <v>66</v>
      </c>
      <c r="X126" s="51" t="s">
        <v>463</v>
      </c>
      <c r="Z126" s="51" t="s">
        <v>463</v>
      </c>
    </row>
    <row r="127" spans="18:36" ht="14.1" customHeight="1">
      <c r="R127" s="51" t="str">
        <f t="shared" si="24"/>
        <v>N - Number of Conductors</v>
      </c>
      <c r="T127" s="51" t="s">
        <v>66</v>
      </c>
      <c r="V127" s="51" t="s">
        <v>66</v>
      </c>
      <c r="X127" s="51" t="s">
        <v>464</v>
      </c>
      <c r="Z127" s="51" t="s">
        <v>464</v>
      </c>
    </row>
    <row r="128" spans="18:36" ht="14.1" customHeight="1">
      <c r="R128" s="51" t="str">
        <f t="shared" si="24"/>
        <v>R - Resistance</v>
      </c>
      <c r="T128" s="51" t="s">
        <v>66</v>
      </c>
      <c r="V128" s="51" t="s">
        <v>66</v>
      </c>
      <c r="X128" s="51" t="s">
        <v>466</v>
      </c>
      <c r="Z128" s="51" t="s">
        <v>465</v>
      </c>
    </row>
    <row r="129" spans="18:27" ht="14.1" customHeight="1">
      <c r="R129" s="51" t="str">
        <f t="shared" si="24"/>
        <v>UA - Utility Adjustment</v>
      </c>
      <c r="T129" s="51" t="s">
        <v>66</v>
      </c>
      <c r="V129" s="51" t="s">
        <v>66</v>
      </c>
      <c r="X129" s="51" t="s">
        <v>467</v>
      </c>
      <c r="Z129" s="51" t="s">
        <v>466</v>
      </c>
    </row>
    <row r="130" spans="18:27" ht="14.1" customHeight="1">
      <c r="R130" s="51" t="str">
        <f t="shared" si="24"/>
        <v>V - Volts</v>
      </c>
      <c r="T130" s="51" t="s">
        <v>66</v>
      </c>
      <c r="V130" s="51" t="s">
        <v>66</v>
      </c>
      <c r="X130" s="51" t="s">
        <v>468</v>
      </c>
      <c r="Z130" s="51" t="s">
        <v>467</v>
      </c>
    </row>
    <row r="131" spans="18:27" ht="14.1" customHeight="1">
      <c r="R131" s="51" t="str">
        <f t="shared" si="24"/>
        <v>VA - Volt Amps</v>
      </c>
      <c r="T131" s="51" t="s">
        <v>66</v>
      </c>
      <c r="V131" s="51" t="s">
        <v>66</v>
      </c>
      <c r="X131" s="51" t="s">
        <v>66</v>
      </c>
      <c r="Z131" s="51" t="s">
        <v>468</v>
      </c>
    </row>
    <row r="132" spans="18:27" ht="14.1" customHeight="1">
      <c r="R132" s="51" t="str">
        <f t="shared" si="24"/>
        <v>VD - Voltage Drop</v>
      </c>
      <c r="T132" s="51" t="s">
        <v>66</v>
      </c>
      <c r="V132" s="51" t="s">
        <v>66</v>
      </c>
      <c r="X132" s="51" t="s">
        <v>66</v>
      </c>
      <c r="Z132" s="51" t="s">
        <v>469</v>
      </c>
    </row>
    <row r="133" spans="18:27" ht="14.1" customHeight="1">
      <c r="R133" s="51" t="str">
        <f t="shared" si="24"/>
        <v xml:space="preserve"> </v>
      </c>
      <c r="T133" s="51" t="s">
        <v>66</v>
      </c>
      <c r="V133" s="51" t="s">
        <v>66</v>
      </c>
      <c r="X133" s="51" t="s">
        <v>66</v>
      </c>
      <c r="Z133" s="51" t="s">
        <v>66</v>
      </c>
    </row>
    <row r="134" spans="18:27" ht="14.1" customHeight="1">
      <c r="R134" s="51" t="str">
        <f t="shared" si="24"/>
        <v xml:space="preserve"> </v>
      </c>
      <c r="T134" s="51" t="s">
        <v>66</v>
      </c>
      <c r="U134" s="51" t="s">
        <v>66</v>
      </c>
      <c r="V134" s="51" t="s">
        <v>66</v>
      </c>
      <c r="W134" s="51" t="s">
        <v>66</v>
      </c>
      <c r="X134" s="51" t="s">
        <v>66</v>
      </c>
      <c r="Y134" s="51" t="s">
        <v>66</v>
      </c>
      <c r="Z134" s="51" t="s">
        <v>66</v>
      </c>
      <c r="AA134" s="51" t="s">
        <v>66</v>
      </c>
    </row>
    <row r="135" spans="18:27" ht="14.1" customHeight="1">
      <c r="R135" s="51" t="str">
        <f t="shared" si="24"/>
        <v xml:space="preserve"> </v>
      </c>
      <c r="T135" s="51" t="s">
        <v>66</v>
      </c>
      <c r="U135" s="51" t="s">
        <v>66</v>
      </c>
      <c r="V135" s="51" t="s">
        <v>66</v>
      </c>
      <c r="W135" s="51" t="s">
        <v>66</v>
      </c>
      <c r="X135" s="51" t="s">
        <v>66</v>
      </c>
      <c r="Y135" s="51" t="s">
        <v>66</v>
      </c>
      <c r="Z135" s="51" t="s">
        <v>66</v>
      </c>
      <c r="AA135" s="51" t="s">
        <v>66</v>
      </c>
    </row>
    <row r="136" spans="18:27" ht="14.1" customHeight="1">
      <c r="R136" s="51" t="str">
        <f t="shared" si="24"/>
        <v xml:space="preserve"> </v>
      </c>
      <c r="T136" s="51" t="s">
        <v>66</v>
      </c>
      <c r="U136" s="51" t="s">
        <v>66</v>
      </c>
      <c r="V136" s="51" t="s">
        <v>66</v>
      </c>
      <c r="W136" s="51" t="s">
        <v>66</v>
      </c>
      <c r="X136" s="51" t="s">
        <v>66</v>
      </c>
      <c r="Y136" s="51" t="s">
        <v>66</v>
      </c>
      <c r="Z136" s="51" t="s">
        <v>66</v>
      </c>
      <c r="AA136" s="51" t="s">
        <v>66</v>
      </c>
    </row>
    <row r="137" spans="18:27" ht="14.1" customHeight="1">
      <c r="T137" s="51" t="s">
        <v>66</v>
      </c>
      <c r="U137" s="51" t="s">
        <v>66</v>
      </c>
      <c r="V137" s="51" t="s">
        <v>66</v>
      </c>
      <c r="W137" s="51" t="s">
        <v>66</v>
      </c>
      <c r="X137" s="51" t="s">
        <v>66</v>
      </c>
      <c r="Y137" s="51" t="s">
        <v>66</v>
      </c>
      <c r="Z137" s="51" t="s">
        <v>66</v>
      </c>
      <c r="AA137" s="51" t="s">
        <v>66</v>
      </c>
    </row>
    <row r="138" spans="18:27" ht="14.1" customHeight="1">
      <c r="T138" s="51" t="s">
        <v>66</v>
      </c>
      <c r="U138" s="51" t="s">
        <v>66</v>
      </c>
      <c r="V138" s="51" t="s">
        <v>66</v>
      </c>
      <c r="W138" s="51" t="s">
        <v>66</v>
      </c>
      <c r="X138" s="51" t="s">
        <v>66</v>
      </c>
      <c r="Y138" s="51" t="s">
        <v>66</v>
      </c>
      <c r="Z138" s="51" t="s">
        <v>66</v>
      </c>
      <c r="AA138" s="51" t="s">
        <v>66</v>
      </c>
    </row>
    <row r="139" spans="18:27" ht="14.1" customHeight="1"/>
    <row r="140" spans="18:27" ht="14.1" customHeight="1"/>
    <row r="141" spans="18:27" ht="14.1" customHeight="1"/>
    <row r="142" spans="18:27" ht="14.1" customHeight="1"/>
    <row r="143" spans="18:27" ht="14.1" customHeight="1"/>
    <row r="144" spans="18:27" ht="14.1" customHeight="1"/>
    <row r="145" ht="14.1" customHeight="1"/>
    <row r="146" ht="14.1" customHeight="1"/>
    <row r="147" ht="14.1" customHeight="1"/>
    <row r="148" ht="14.1" customHeight="1"/>
    <row r="149" ht="14.1" customHeight="1"/>
    <row r="150" ht="14.1" customHeight="1"/>
    <row r="151" ht="14.1" customHeight="1"/>
    <row r="152" ht="14.1" customHeight="1"/>
    <row r="153" ht="14.1" customHeight="1"/>
    <row r="154" ht="14.1" customHeight="1"/>
    <row r="155" ht="14.1" customHeight="1"/>
    <row r="156" ht="14.1" customHeight="1"/>
    <row r="157" ht="14.1" customHeight="1"/>
    <row r="158" ht="14.1" customHeight="1"/>
    <row r="159" ht="14.1" customHeight="1"/>
    <row r="160" ht="14.1" customHeight="1"/>
    <row r="161" ht="14.1" customHeight="1"/>
    <row r="162" ht="14.1" customHeight="1"/>
    <row r="163" ht="14.1" customHeight="1"/>
    <row r="164" ht="14.1" customHeight="1"/>
    <row r="165" ht="14.1" customHeight="1"/>
    <row r="166" ht="14.1" customHeight="1"/>
    <row r="167" ht="14.1" customHeight="1"/>
    <row r="168" ht="14.1" customHeight="1"/>
    <row r="169" ht="14.1" customHeight="1"/>
    <row r="170" ht="14.1" customHeight="1"/>
    <row r="171" ht="14.1" customHeight="1"/>
    <row r="172" ht="14.1" customHeight="1"/>
    <row r="173" ht="14.1" customHeight="1"/>
    <row r="174" ht="14.1" customHeight="1"/>
    <row r="175" ht="14.1" customHeight="1"/>
    <row r="176" ht="14.1" customHeight="1"/>
    <row r="177" ht="14.1" customHeight="1"/>
    <row r="178" ht="14.1" customHeight="1"/>
    <row r="179" ht="14.1" customHeight="1"/>
    <row r="180" ht="14.1" customHeight="1"/>
    <row r="181" ht="14.1" customHeight="1"/>
    <row r="182" ht="14.1" customHeight="1"/>
    <row r="183" ht="14.1" customHeight="1"/>
    <row r="184" ht="14.1" customHeight="1"/>
    <row r="185" ht="14.1" customHeight="1"/>
    <row r="186" ht="14.1" customHeight="1"/>
    <row r="187" ht="14.1" customHeight="1"/>
    <row r="188" ht="14.1" customHeight="1"/>
    <row r="189" ht="14.1" customHeight="1"/>
    <row r="190" ht="14.1" customHeight="1"/>
    <row r="191" ht="14.1" customHeight="1"/>
    <row r="192" ht="14.1" customHeight="1"/>
    <row r="193" ht="14.1" customHeight="1"/>
    <row r="194" ht="14.1" customHeight="1"/>
    <row r="195" ht="14.1" customHeight="1"/>
    <row r="196" ht="14.1" customHeight="1"/>
    <row r="197" ht="14.1" customHeight="1"/>
    <row r="198" ht="14.1" customHeight="1"/>
    <row r="199" ht="14.1" customHeight="1"/>
    <row r="200" ht="14.1" customHeight="1"/>
    <row r="201" ht="14.1" customHeight="1"/>
    <row r="202" ht="14.1" customHeight="1"/>
    <row r="203" ht="14.1" customHeight="1"/>
    <row r="204" ht="14.1" customHeight="1"/>
    <row r="205" ht="14.1" customHeight="1"/>
    <row r="206" ht="14.1" customHeight="1"/>
    <row r="207" ht="14.1" customHeight="1"/>
    <row r="208" ht="14.1" customHeight="1"/>
    <row r="209" ht="14.1" customHeight="1"/>
    <row r="210" ht="14.1" customHeight="1"/>
    <row r="211" ht="14.1" customHeight="1"/>
    <row r="212" ht="14.1" customHeight="1"/>
    <row r="213" ht="14.1" customHeight="1"/>
    <row r="214" ht="14.1" customHeight="1"/>
    <row r="215" ht="14.1" customHeight="1"/>
    <row r="216" ht="14.1" customHeight="1"/>
    <row r="217" ht="14.1" customHeight="1"/>
    <row r="218" ht="14.1" customHeight="1"/>
    <row r="219" ht="14.1" customHeight="1"/>
    <row r="220" ht="14.1" customHeight="1"/>
    <row r="221" ht="14.1" customHeight="1"/>
    <row r="222" ht="14.1" customHeight="1"/>
    <row r="223" ht="14.1" customHeight="1"/>
    <row r="224" ht="14.1" customHeight="1"/>
    <row r="225" ht="14.1" customHeight="1"/>
    <row r="226" ht="14.1" customHeight="1"/>
    <row r="227" ht="14.1" customHeight="1"/>
    <row r="228" ht="14.1" customHeight="1"/>
    <row r="229" ht="14.1" customHeight="1"/>
    <row r="230" ht="14.1" customHeight="1"/>
    <row r="231" ht="14.1" customHeight="1"/>
    <row r="232" ht="14.1" customHeight="1"/>
    <row r="233" ht="14.1" customHeight="1"/>
    <row r="234" ht="14.1" customHeight="1"/>
    <row r="235" ht="14.1" customHeight="1"/>
    <row r="236" ht="14.1" customHeight="1"/>
    <row r="237" ht="14.1" customHeight="1"/>
    <row r="238" ht="14.1" customHeight="1"/>
    <row r="239" ht="14.1" customHeight="1"/>
    <row r="240" ht="14.1" customHeight="1"/>
    <row r="241" ht="14.1" customHeight="1"/>
    <row r="242" ht="14.1" customHeight="1"/>
    <row r="243" ht="14.1" customHeight="1"/>
    <row r="244" ht="14.1" customHeight="1"/>
    <row r="245" ht="14.1" customHeight="1"/>
    <row r="246" ht="14.1" customHeight="1"/>
    <row r="247" ht="14.1" customHeight="1"/>
    <row r="248" ht="14.1" customHeight="1"/>
    <row r="249" ht="14.1" customHeight="1"/>
    <row r="250" ht="14.1" customHeight="1"/>
    <row r="251" ht="14.1" customHeight="1"/>
    <row r="252" ht="14.1" customHeight="1"/>
    <row r="253" ht="14.1" customHeight="1"/>
    <row r="254" ht="14.1" customHeight="1"/>
    <row r="255" ht="14.1" customHeight="1"/>
    <row r="256" ht="14.1" customHeight="1"/>
    <row r="257" ht="14.1" customHeight="1"/>
    <row r="258" ht="14.1" customHeight="1"/>
    <row r="259" ht="14.1" customHeight="1"/>
    <row r="260" ht="14.1" customHeight="1"/>
    <row r="261" ht="14.1" customHeight="1"/>
    <row r="262" ht="14.1" customHeight="1"/>
    <row r="263" ht="14.1" customHeight="1"/>
    <row r="264" ht="14.1" customHeight="1"/>
    <row r="265" ht="14.1" customHeight="1"/>
    <row r="266" ht="14.1" customHeight="1"/>
    <row r="267" ht="14.1" customHeight="1"/>
    <row r="268" ht="14.1" customHeight="1"/>
    <row r="269" ht="14.1" customHeight="1"/>
    <row r="270" ht="14.1" customHeight="1"/>
    <row r="271" ht="14.1" customHeight="1"/>
    <row r="272" ht="14.1" customHeight="1"/>
    <row r="273" ht="14.1" customHeight="1"/>
    <row r="274" ht="14.1" customHeight="1"/>
    <row r="275" ht="14.1" customHeight="1"/>
    <row r="276" ht="14.1" customHeight="1"/>
    <row r="277" ht="14.1" customHeight="1"/>
    <row r="278" ht="14.1" customHeight="1"/>
    <row r="279" ht="14.1" customHeight="1"/>
    <row r="280" ht="14.1" customHeight="1"/>
    <row r="281" ht="14.1" customHeight="1"/>
    <row r="282" ht="14.1" customHeight="1"/>
    <row r="283" ht="14.1" customHeight="1"/>
    <row r="284" ht="14.1" customHeight="1"/>
    <row r="285" ht="14.1" customHeight="1"/>
    <row r="286" ht="14.1" customHeight="1"/>
    <row r="287" ht="14.1" customHeight="1"/>
    <row r="288" ht="14.1" customHeight="1"/>
    <row r="289" ht="14.1" customHeight="1"/>
    <row r="290" ht="14.1" customHeight="1"/>
    <row r="291" ht="14.1" customHeight="1"/>
    <row r="292" ht="14.1" customHeight="1"/>
    <row r="293" ht="14.1" customHeight="1"/>
    <row r="294" ht="14.1" customHeight="1"/>
    <row r="295" ht="14.1" customHeight="1"/>
    <row r="296" ht="14.1" customHeight="1"/>
    <row r="297" ht="14.1" customHeight="1"/>
    <row r="298" ht="14.1" customHeight="1"/>
    <row r="299" ht="14.1" customHeight="1"/>
    <row r="300" ht="14.1" customHeight="1"/>
    <row r="301" ht="14.1" customHeight="1"/>
    <row r="302" ht="14.1" customHeight="1"/>
    <row r="303" ht="14.1" customHeight="1"/>
    <row r="304" ht="14.1" customHeight="1"/>
    <row r="305" ht="14.1" customHeight="1"/>
    <row r="306" ht="14.1" customHeight="1"/>
    <row r="307" ht="14.1" customHeight="1"/>
    <row r="308" ht="14.1" customHeight="1"/>
    <row r="309" ht="14.1" customHeight="1"/>
    <row r="310" ht="14.1" customHeight="1"/>
    <row r="311" ht="14.1" customHeight="1"/>
    <row r="312" ht="14.1" customHeight="1"/>
    <row r="313" ht="14.1" customHeight="1"/>
    <row r="314" ht="14.1" customHeight="1"/>
    <row r="315" ht="14.1" customHeight="1"/>
    <row r="316" ht="14.1" customHeight="1"/>
    <row r="317" ht="14.1" customHeight="1"/>
    <row r="318" ht="14.1" customHeight="1"/>
    <row r="319" ht="14.1" customHeight="1"/>
    <row r="320" ht="14.1" customHeight="1"/>
    <row r="321" ht="14.1" customHeight="1"/>
    <row r="322" ht="14.1" customHeight="1"/>
    <row r="323" ht="14.1" customHeight="1"/>
    <row r="324" ht="14.1" customHeight="1"/>
    <row r="325" ht="14.1" customHeight="1"/>
    <row r="326" ht="14.1" customHeight="1"/>
    <row r="327" ht="14.1" customHeight="1"/>
    <row r="328" ht="14.1" customHeight="1"/>
    <row r="329" ht="14.1" customHeight="1"/>
    <row r="330" ht="14.1" customHeight="1"/>
    <row r="331" ht="14.1" customHeight="1"/>
    <row r="332" ht="14.1" customHeight="1"/>
    <row r="333" ht="14.1" customHeight="1"/>
    <row r="334" ht="14.1" customHeight="1"/>
    <row r="335" ht="14.1" customHeight="1"/>
    <row r="336" ht="14.1" customHeight="1"/>
    <row r="337" ht="14.1" customHeight="1"/>
    <row r="338" ht="14.1" customHeight="1"/>
    <row r="339" ht="14.1" customHeight="1"/>
    <row r="340" ht="14.1" customHeight="1"/>
    <row r="341" ht="14.1" customHeight="1"/>
    <row r="342" ht="14.1" customHeight="1"/>
    <row r="343" ht="14.1" customHeight="1"/>
    <row r="344" ht="14.1" customHeight="1"/>
    <row r="345" ht="14.1" customHeight="1"/>
    <row r="346" ht="14.1" customHeight="1"/>
    <row r="347" ht="14.1" customHeight="1"/>
    <row r="348" ht="14.1" customHeight="1"/>
    <row r="349" ht="14.1" customHeight="1"/>
    <row r="350" ht="14.1" customHeight="1"/>
    <row r="351" ht="14.1" customHeight="1"/>
    <row r="352" ht="14.1" customHeight="1"/>
    <row r="353" ht="14.1" customHeight="1"/>
    <row r="354" ht="14.1" customHeight="1"/>
    <row r="355" ht="14.1" customHeight="1"/>
    <row r="356" ht="14.1" customHeight="1"/>
    <row r="357" ht="14.1" customHeight="1"/>
    <row r="358" ht="14.1" customHeight="1"/>
    <row r="359" ht="14.1" customHeight="1"/>
    <row r="360" ht="14.1" customHeight="1"/>
    <row r="361" ht="14.1" customHeight="1"/>
    <row r="362" ht="14.1" customHeight="1"/>
    <row r="363" ht="14.1" customHeight="1"/>
    <row r="364" ht="14.1" customHeight="1"/>
    <row r="365" ht="14.1" customHeight="1"/>
    <row r="366" ht="14.1" customHeight="1"/>
    <row r="367" ht="14.1" customHeight="1"/>
    <row r="368" ht="14.1" customHeight="1"/>
    <row r="369" ht="14.1" customHeight="1"/>
    <row r="370" ht="14.1" customHeight="1"/>
    <row r="371" ht="14.1" customHeight="1"/>
    <row r="372" ht="14.1" customHeight="1"/>
    <row r="373" ht="14.1" customHeight="1"/>
    <row r="374" ht="14.1" customHeight="1"/>
    <row r="375" ht="14.1" customHeight="1"/>
    <row r="376" ht="14.1" customHeight="1"/>
    <row r="377" ht="14.1" customHeight="1"/>
    <row r="378" ht="14.1" customHeight="1"/>
    <row r="379" ht="14.1" customHeight="1"/>
    <row r="380" ht="14.1" customHeight="1"/>
    <row r="381" ht="14.1" customHeight="1"/>
    <row r="382" ht="14.1" customHeight="1"/>
    <row r="383" ht="14.1" customHeight="1"/>
    <row r="384" ht="14.1" customHeight="1"/>
    <row r="385" ht="14.1" customHeight="1"/>
    <row r="386" ht="14.1" customHeight="1"/>
    <row r="387" ht="14.1" customHeight="1"/>
    <row r="388" ht="14.1" customHeight="1"/>
    <row r="389" ht="14.1" customHeight="1"/>
    <row r="390" ht="14.1" customHeight="1"/>
    <row r="391" ht="14.1" customHeight="1"/>
    <row r="392" ht="14.1" customHeight="1"/>
    <row r="393" ht="14.1" customHeight="1"/>
    <row r="394" ht="14.1" customHeight="1"/>
    <row r="395" ht="14.1" customHeight="1"/>
    <row r="396" ht="14.1" customHeight="1"/>
    <row r="397" ht="14.1" customHeight="1"/>
    <row r="398" ht="14.1" customHeight="1"/>
    <row r="399" ht="14.1" customHeight="1"/>
    <row r="400" ht="14.1" customHeight="1"/>
    <row r="401" ht="14.1" customHeight="1"/>
    <row r="402" ht="14.1" customHeight="1"/>
    <row r="403" ht="14.1" customHeight="1"/>
    <row r="404" ht="14.1" customHeight="1"/>
    <row r="405" ht="14.1" customHeight="1"/>
    <row r="406" ht="14.1" customHeight="1"/>
    <row r="407" ht="14.1" customHeight="1"/>
    <row r="408" ht="14.1" customHeight="1"/>
    <row r="409" ht="14.1" customHeight="1"/>
    <row r="410" ht="14.1" customHeight="1"/>
    <row r="411" ht="14.1" customHeight="1"/>
    <row r="412" ht="14.1" customHeight="1"/>
    <row r="413" ht="14.1" customHeight="1"/>
    <row r="414" ht="14.1" customHeight="1"/>
    <row r="415" ht="14.1" customHeight="1"/>
    <row r="416" ht="14.1" customHeight="1"/>
    <row r="417" ht="14.1" customHeight="1"/>
    <row r="418" ht="14.1" customHeight="1"/>
    <row r="419" ht="14.1" customHeight="1"/>
    <row r="420" ht="14.1" customHeight="1"/>
    <row r="421" ht="14.1" customHeight="1"/>
    <row r="422" ht="14.1" customHeight="1"/>
    <row r="423" ht="14.1" customHeight="1"/>
    <row r="424" ht="14.1" customHeight="1"/>
    <row r="425" ht="14.1" customHeight="1"/>
    <row r="426" ht="14.1" customHeight="1"/>
    <row r="427" ht="14.1" customHeight="1"/>
    <row r="428" ht="14.1" customHeight="1"/>
    <row r="429" ht="14.1" customHeight="1"/>
    <row r="430" ht="14.1" customHeight="1"/>
    <row r="431" ht="14.1" customHeight="1"/>
    <row r="432" ht="14.1" customHeight="1"/>
    <row r="433" ht="14.1" customHeight="1"/>
    <row r="434" ht="14.1" customHeight="1"/>
    <row r="435" ht="14.1" customHeight="1"/>
    <row r="436" ht="14.1" customHeight="1"/>
    <row r="437" ht="14.1" customHeight="1"/>
    <row r="438" ht="14.1" customHeight="1"/>
    <row r="439" ht="14.1" customHeight="1"/>
    <row r="440" ht="14.1" customHeight="1"/>
    <row r="441" ht="14.1" customHeight="1"/>
    <row r="442" ht="14.1" customHeight="1"/>
    <row r="443" ht="14.1" customHeight="1"/>
    <row r="444" ht="14.1" customHeight="1"/>
    <row r="445" ht="14.1" customHeight="1"/>
    <row r="446" ht="14.1" customHeight="1"/>
    <row r="447" ht="14.1" customHeight="1"/>
    <row r="448" ht="14.1" customHeight="1"/>
    <row r="449" ht="14.1" customHeight="1"/>
    <row r="450" ht="14.1" customHeight="1"/>
    <row r="451" ht="14.1" customHeight="1"/>
    <row r="452" ht="14.1" customHeight="1"/>
    <row r="453" ht="14.1" customHeight="1"/>
    <row r="454" ht="14.1" customHeight="1"/>
    <row r="455" ht="14.1" customHeight="1"/>
    <row r="456" ht="14.1" customHeight="1"/>
    <row r="457" ht="14.1" customHeight="1"/>
    <row r="458" ht="14.1" customHeight="1"/>
    <row r="459" ht="14.1" customHeight="1"/>
    <row r="460" ht="14.1" customHeight="1"/>
    <row r="461" ht="14.1" customHeight="1"/>
    <row r="462" ht="14.1" customHeight="1"/>
    <row r="463" ht="14.1" customHeight="1"/>
    <row r="464" ht="14.1" customHeight="1"/>
    <row r="465" ht="14.1" customHeight="1"/>
    <row r="466" ht="14.1" customHeight="1"/>
    <row r="467" ht="14.1" customHeight="1"/>
    <row r="468" ht="14.1" customHeight="1"/>
    <row r="469" ht="14.1" customHeight="1"/>
    <row r="470" ht="14.1" customHeight="1"/>
    <row r="471" ht="14.1" customHeight="1"/>
    <row r="472" ht="14.1" customHeight="1"/>
    <row r="473" ht="14.1" customHeight="1"/>
    <row r="474" ht="14.1" customHeight="1"/>
    <row r="475" ht="14.1" customHeight="1"/>
    <row r="476" ht="14.1" customHeight="1"/>
    <row r="477" ht="14.1" customHeight="1"/>
    <row r="478" ht="14.1" customHeight="1"/>
    <row r="479" ht="14.1" customHeight="1"/>
    <row r="480" ht="14.1" customHeight="1"/>
    <row r="481" ht="14.1" customHeight="1"/>
    <row r="482" ht="14.1" customHeight="1"/>
    <row r="483" ht="14.1" customHeight="1"/>
    <row r="484" ht="14.1" customHeight="1"/>
    <row r="485" ht="14.1" customHeight="1"/>
    <row r="486" ht="14.1" customHeight="1"/>
    <row r="487" ht="14.1" customHeight="1"/>
    <row r="488" ht="14.1" customHeight="1"/>
    <row r="489" ht="14.1" customHeight="1"/>
    <row r="490" ht="14.1" customHeight="1"/>
    <row r="491" ht="14.1" customHeight="1"/>
    <row r="492" ht="14.1" customHeight="1"/>
    <row r="493" ht="14.1" customHeight="1"/>
    <row r="494" ht="14.1" customHeight="1"/>
    <row r="495" ht="14.1" customHeight="1"/>
    <row r="496" ht="14.1" customHeight="1"/>
    <row r="497" ht="14.1" customHeight="1"/>
    <row r="498" ht="14.1" customHeight="1"/>
    <row r="499" ht="14.1" customHeight="1"/>
    <row r="500" ht="14.1" customHeight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</sheetData>
  <phoneticPr fontId="0" type="noConversion"/>
  <conditionalFormatting sqref="AB84:AB89">
    <cfRule type="expression" dxfId="24" priority="1" stopIfTrue="1">
      <formula>IF($P$4&gt;0,TRUE,FALSE)</formula>
    </cfRule>
  </conditionalFormatting>
  <conditionalFormatting sqref="N1:N1048576 T139:Z143 T134:AA138 T117:Z133">
    <cfRule type="expression" dxfId="23" priority="2" stopIfTrue="1">
      <formula>IF($P$2&gt;0,TRUE,FALSE)</formula>
    </cfRule>
  </conditionalFormatting>
  <conditionalFormatting sqref="A1:A1048576 C1:F1048576 B1:B3 B5:B8 B15:B65536 G87:M65536 G1:M59 P55">
    <cfRule type="expression" dxfId="22" priority="3" stopIfTrue="1">
      <formula>IF($P$2&gt;0,TRUE,FALSE)</formula>
    </cfRule>
  </conditionalFormatting>
  <conditionalFormatting sqref="B4">
    <cfRule type="expression" dxfId="21" priority="4" stopIfTrue="1">
      <formula>IF($P$2&gt;0,TRUE,FALSE)</formula>
    </cfRule>
  </conditionalFormatting>
  <conditionalFormatting sqref="G60:M86">
    <cfRule type="expression" dxfId="20" priority="5" stopIfTrue="1">
      <formula>IF($P$2&gt;0,TRUE,FALSE)</formula>
    </cfRule>
  </conditionalFormatting>
  <pageMargins left="0.25" right="0.25" top="0.25" bottom="0.25" header="0" footer="0"/>
  <pageSetup scale="7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B1:V166"/>
  <sheetViews>
    <sheetView topLeftCell="G1" workbookViewId="0">
      <selection activeCell="M14" sqref="M14"/>
    </sheetView>
  </sheetViews>
  <sheetFormatPr defaultRowHeight="14.1" customHeight="1"/>
  <cols>
    <col min="1" max="1" width="4.28515625" style="1" customWidth="1"/>
    <col min="2" max="2" width="20.28515625" style="1" customWidth="1"/>
    <col min="3" max="3" width="14.140625" style="1" customWidth="1"/>
    <col min="4" max="4" width="11.85546875" style="1" customWidth="1"/>
    <col min="5" max="6" width="9.140625" style="1"/>
    <col min="7" max="7" width="12.42578125" style="1" customWidth="1"/>
    <col min="8" max="12" width="9.140625" style="1"/>
    <col min="13" max="13" width="24.140625" style="1" customWidth="1"/>
    <col min="14" max="29" width="9.140625" style="1"/>
    <col min="30" max="30" width="13.140625" style="1" customWidth="1"/>
    <col min="31" max="16384" width="9.140625" style="1"/>
  </cols>
  <sheetData>
    <row r="1" spans="2:20" ht="14.1" customHeight="1">
      <c r="D1" s="7"/>
      <c r="F1" s="8"/>
      <c r="G1" s="11" t="s">
        <v>67</v>
      </c>
      <c r="H1" s="9"/>
      <c r="I1" s="10"/>
    </row>
    <row r="2" spans="2:20" ht="14.1" customHeight="1">
      <c r="D2" s="7"/>
      <c r="F2" s="8"/>
      <c r="G2" s="7"/>
      <c r="H2" s="9"/>
      <c r="I2" s="10"/>
    </row>
    <row r="3" spans="2:20" ht="14.1" customHeight="1">
      <c r="D3" s="12" t="s">
        <v>30</v>
      </c>
      <c r="E3" s="13"/>
      <c r="F3" s="14"/>
      <c r="G3" s="12" t="s">
        <v>33</v>
      </c>
      <c r="H3" s="15"/>
      <c r="I3" s="16" t="s">
        <v>31</v>
      </c>
      <c r="J3" s="13"/>
      <c r="K3" s="17" t="s">
        <v>32</v>
      </c>
    </row>
    <row r="4" spans="2:20" ht="14.1" customHeight="1">
      <c r="D4" s="18" t="s">
        <v>34</v>
      </c>
      <c r="F4" s="8"/>
      <c r="G4" s="18" t="s">
        <v>35</v>
      </c>
      <c r="H4" s="9"/>
      <c r="I4" s="19" t="s">
        <v>36</v>
      </c>
      <c r="K4" s="20" t="s">
        <v>37</v>
      </c>
    </row>
    <row r="5" spans="2:20" ht="14.1" customHeight="1">
      <c r="D5" s="18" t="s">
        <v>38</v>
      </c>
      <c r="F5" s="8"/>
      <c r="G5" s="18" t="s">
        <v>39</v>
      </c>
      <c r="H5" s="9"/>
      <c r="I5" s="19" t="s">
        <v>39</v>
      </c>
      <c r="K5" s="20" t="s">
        <v>39</v>
      </c>
    </row>
    <row r="6" spans="2:20" ht="14.1" customHeight="1">
      <c r="D6" s="18"/>
      <c r="F6" s="8"/>
      <c r="G6" s="18"/>
      <c r="H6" s="9"/>
      <c r="I6" s="19"/>
      <c r="K6" s="20"/>
    </row>
    <row r="7" spans="2:20" ht="14.1" customHeight="1">
      <c r="D7" s="21"/>
      <c r="E7" s="22"/>
      <c r="F7" s="23"/>
      <c r="G7" s="21"/>
      <c r="H7" s="24"/>
      <c r="I7" s="25"/>
      <c r="J7" s="22"/>
      <c r="K7" s="26"/>
      <c r="M7" s="6">
        <f>Input!J9</f>
        <v>1</v>
      </c>
    </row>
    <row r="8" spans="2:20" ht="14.1" customHeight="1">
      <c r="D8" s="18"/>
      <c r="F8" s="8"/>
      <c r="G8" s="18"/>
      <c r="H8" s="9"/>
      <c r="I8" s="19"/>
      <c r="K8" s="20"/>
      <c r="M8" s="1">
        <f>Input!E7</f>
        <v>2008</v>
      </c>
    </row>
    <row r="9" spans="2:20" ht="14.1" customHeight="1">
      <c r="C9" s="6"/>
      <c r="D9" s="18">
        <v>1</v>
      </c>
      <c r="E9" s="1">
        <v>1</v>
      </c>
      <c r="F9" s="8">
        <f t="shared" ref="F9:F33" si="0">IF($C$10=E9,G9,IF($C$10&gt;-99999,0))</f>
        <v>0</v>
      </c>
      <c r="G9" s="18">
        <v>8</v>
      </c>
      <c r="H9" s="9">
        <f t="shared" ref="H9:H33" si="1">IF($C$10=E9,(I9/100),IF($C$10&gt;-99999,0))</f>
        <v>0</v>
      </c>
      <c r="I9" s="19">
        <v>80</v>
      </c>
      <c r="J9" s="9">
        <f t="shared" ref="J9:J33" si="2">IF($C$10=E9,(K9/100),IF($C$10&gt;-99999,0))</f>
        <v>0</v>
      </c>
      <c r="K9" s="20">
        <v>80</v>
      </c>
      <c r="P9" s="1">
        <f>IF(P10&lt;12000,1,((((P10-12000)/1000)*0.05)+1))</f>
        <v>1</v>
      </c>
      <c r="Q9" s="1">
        <f>ROUND(P9,2)</f>
        <v>1</v>
      </c>
    </row>
    <row r="10" spans="2:20" ht="14.1" customHeight="1">
      <c r="B10" s="1" t="s">
        <v>40</v>
      </c>
      <c r="C10" s="27">
        <f>Input!E31</f>
        <v>0</v>
      </c>
      <c r="D10" s="18">
        <f t="shared" ref="D10:D33" si="3">D9+1</f>
        <v>2</v>
      </c>
      <c r="E10" s="1">
        <v>2</v>
      </c>
      <c r="F10" s="8">
        <f t="shared" si="0"/>
        <v>0</v>
      </c>
      <c r="G10" s="18">
        <v>11</v>
      </c>
      <c r="H10" s="9">
        <f t="shared" si="1"/>
        <v>0</v>
      </c>
      <c r="I10" s="19">
        <v>75</v>
      </c>
      <c r="J10" s="9">
        <f t="shared" si="2"/>
        <v>0</v>
      </c>
      <c r="K10" s="20">
        <v>65</v>
      </c>
      <c r="M10" s="287" t="str">
        <f>IF(N10=0,"NO RANGE",IF(N10=1,"RANGE ( ","RANGES ( "))</f>
        <v>NO RANGE</v>
      </c>
      <c r="N10" s="287">
        <f>ROUND(C10,0)</f>
        <v>0</v>
      </c>
      <c r="O10" s="287" t="s">
        <v>557</v>
      </c>
      <c r="P10" s="240">
        <f>ROUND(Input!F31*1000,0)</f>
        <v>0</v>
      </c>
      <c r="Q10" s="240" t="str">
        <f>IF(N10=1," VA )"," VA EA )")</f>
        <v xml:space="preserve"> VA EA )</v>
      </c>
      <c r="R10" s="240"/>
      <c r="S10" s="240"/>
      <c r="T10" s="240"/>
    </row>
    <row r="11" spans="2:20" ht="14.1" customHeight="1">
      <c r="D11" s="18">
        <f t="shared" si="3"/>
        <v>3</v>
      </c>
      <c r="E11" s="1">
        <v>3</v>
      </c>
      <c r="F11" s="8">
        <f t="shared" si="0"/>
        <v>0</v>
      </c>
      <c r="G11" s="18">
        <v>14</v>
      </c>
      <c r="H11" s="9">
        <f t="shared" si="1"/>
        <v>0</v>
      </c>
      <c r="I11" s="19">
        <v>70</v>
      </c>
      <c r="J11" s="9">
        <f t="shared" si="2"/>
        <v>0</v>
      </c>
      <c r="K11" s="20">
        <v>55</v>
      </c>
      <c r="M11" s="240" t="str">
        <f>TEXT(M10, "#,##0")</f>
        <v>NO RANGE</v>
      </c>
      <c r="N11" s="240">
        <f>N10</f>
        <v>0</v>
      </c>
      <c r="O11" s="240" t="s">
        <v>557</v>
      </c>
      <c r="P11" s="240" t="str">
        <f>TEXT(P10, "#,##0")</f>
        <v>0</v>
      </c>
      <c r="Q11" s="240" t="str">
        <f>Q10</f>
        <v xml:space="preserve"> VA EA )</v>
      </c>
      <c r="R11" s="240"/>
      <c r="S11" s="240"/>
      <c r="T11" s="240" t="str">
        <f>CONCATENATE(M11,N11,O11,P11,Q11,R11)</f>
        <v>NO RANGE0 AT 0 VA EA )</v>
      </c>
    </row>
    <row r="12" spans="2:20" ht="14.1" customHeight="1">
      <c r="B12" s="1" t="s">
        <v>41</v>
      </c>
      <c r="D12" s="18">
        <f t="shared" si="3"/>
        <v>4</v>
      </c>
      <c r="E12" s="1">
        <v>4</v>
      </c>
      <c r="F12" s="8">
        <f t="shared" si="0"/>
        <v>0</v>
      </c>
      <c r="G12" s="18">
        <v>17</v>
      </c>
      <c r="H12" s="9">
        <f t="shared" si="1"/>
        <v>0</v>
      </c>
      <c r="I12" s="19">
        <v>66</v>
      </c>
      <c r="J12" s="9">
        <f t="shared" si="2"/>
        <v>0</v>
      </c>
      <c r="K12" s="20">
        <v>50</v>
      </c>
    </row>
    <row r="13" spans="2:20" ht="14.1" customHeight="1">
      <c r="B13" s="1" t="s">
        <v>42</v>
      </c>
      <c r="D13" s="18">
        <f t="shared" si="3"/>
        <v>5</v>
      </c>
      <c r="E13" s="1">
        <v>5</v>
      </c>
      <c r="F13" s="8">
        <f t="shared" si="0"/>
        <v>0</v>
      </c>
      <c r="G13" s="18">
        <v>20</v>
      </c>
      <c r="H13" s="9">
        <f t="shared" si="1"/>
        <v>0</v>
      </c>
      <c r="I13" s="19">
        <v>62</v>
      </c>
      <c r="J13" s="9">
        <f t="shared" si="2"/>
        <v>0</v>
      </c>
      <c r="K13" s="20">
        <v>45</v>
      </c>
      <c r="M13" s="1" t="s">
        <v>74</v>
      </c>
      <c r="N13" s="6">
        <f>ROUND(C14*1000,0)</f>
        <v>0</v>
      </c>
      <c r="O13" s="1" t="s">
        <v>556</v>
      </c>
      <c r="P13" s="1">
        <f>Q9</f>
        <v>1</v>
      </c>
      <c r="R13" s="1">
        <f>ROUND(N13*P13,0)</f>
        <v>0</v>
      </c>
    </row>
    <row r="14" spans="2:20" ht="14.1" customHeight="1">
      <c r="B14" s="1" t="s">
        <v>43</v>
      </c>
      <c r="C14" s="28">
        <f>F41</f>
        <v>0</v>
      </c>
      <c r="D14" s="18">
        <f t="shared" si="3"/>
        <v>6</v>
      </c>
      <c r="E14" s="1">
        <v>6</v>
      </c>
      <c r="F14" s="8">
        <f t="shared" si="0"/>
        <v>0</v>
      </c>
      <c r="G14" s="18">
        <v>21</v>
      </c>
      <c r="H14" s="9">
        <f t="shared" si="1"/>
        <v>0</v>
      </c>
      <c r="I14" s="19">
        <v>59</v>
      </c>
      <c r="J14" s="9">
        <f t="shared" si="2"/>
        <v>0</v>
      </c>
      <c r="K14" s="20">
        <v>43</v>
      </c>
      <c r="M14" s="240" t="str">
        <f>IF(M8&lt;&gt;2002,IF(P10&gt;12000,"PER TABLE 220.55 &amp; NOTE 1 ( ","PER TABLE 220.55 ( "),IF(P10&gt;12000,"PER TABLE 220.19 &amp; NOTE 1 ( ","PER TABLE 220.19 ( "))</f>
        <v xml:space="preserve">PER TABLE 220.55 ( </v>
      </c>
      <c r="N14" s="240" t="str">
        <f>TEXT(N13, "#,##0")</f>
        <v>0</v>
      </c>
      <c r="O14" s="1" t="str">
        <f>O13</f>
        <v xml:space="preserve"> VA X </v>
      </c>
      <c r="P14" s="240" t="str">
        <f>TEXT(P13, "#,##0.00")</f>
        <v>1.00</v>
      </c>
      <c r="Q14" s="1" t="s">
        <v>260</v>
      </c>
      <c r="R14" s="240" t="str">
        <f>TEXT(R13, "#,##0")</f>
        <v>0</v>
      </c>
      <c r="S14" s="1" t="s">
        <v>488</v>
      </c>
      <c r="T14" s="240" t="str">
        <f>IF(M7="3Y",CONCATENATE(M14,N14,O14,P14,Q14,R14,S14),CONCATENATE(M14,N14,O14,P14,Q14,S14))</f>
        <v>PER TABLE 220.55 ( 0 VA X 1.00 ) =  VA</v>
      </c>
    </row>
    <row r="15" spans="2:20" ht="14.1" customHeight="1">
      <c r="C15" s="240">
        <f>C14*1000</f>
        <v>0</v>
      </c>
      <c r="D15" s="18">
        <f t="shared" si="3"/>
        <v>7</v>
      </c>
      <c r="E15" s="1">
        <v>7</v>
      </c>
      <c r="F15" s="8">
        <f t="shared" si="0"/>
        <v>0</v>
      </c>
      <c r="G15" s="18">
        <v>22</v>
      </c>
      <c r="H15" s="9">
        <f t="shared" si="1"/>
        <v>0</v>
      </c>
      <c r="I15" s="19">
        <v>56</v>
      </c>
      <c r="J15" s="9">
        <f t="shared" si="2"/>
        <v>0</v>
      </c>
      <c r="K15" s="20">
        <v>40</v>
      </c>
    </row>
    <row r="16" spans="2:20" ht="14.1" customHeight="1">
      <c r="B16" s="1" t="s">
        <v>44</v>
      </c>
      <c r="D16" s="18">
        <f t="shared" si="3"/>
        <v>8</v>
      </c>
      <c r="E16" s="1">
        <v>8</v>
      </c>
      <c r="F16" s="8">
        <f t="shared" si="0"/>
        <v>0</v>
      </c>
      <c r="G16" s="18">
        <v>23</v>
      </c>
      <c r="H16" s="9">
        <f t="shared" si="1"/>
        <v>0</v>
      </c>
      <c r="I16" s="19">
        <v>53</v>
      </c>
      <c r="J16" s="9">
        <f t="shared" si="2"/>
        <v>0</v>
      </c>
      <c r="K16" s="20">
        <v>36</v>
      </c>
      <c r="M16" s="1" t="s">
        <v>558</v>
      </c>
    </row>
    <row r="17" spans="2:20" ht="14.1" customHeight="1">
      <c r="B17" s="1" t="s">
        <v>45</v>
      </c>
      <c r="D17" s="18">
        <f t="shared" si="3"/>
        <v>9</v>
      </c>
      <c r="E17" s="1">
        <v>9</v>
      </c>
      <c r="F17" s="8">
        <f t="shared" si="0"/>
        <v>0</v>
      </c>
      <c r="G17" s="18">
        <v>24</v>
      </c>
      <c r="H17" s="9">
        <f t="shared" si="1"/>
        <v>0</v>
      </c>
      <c r="I17" s="19">
        <v>51</v>
      </c>
      <c r="J17" s="9">
        <f t="shared" si="2"/>
        <v>0</v>
      </c>
      <c r="K17" s="20">
        <v>35</v>
      </c>
      <c r="M17" s="1" t="s">
        <v>489</v>
      </c>
      <c r="N17" s="1">
        <f>R13</f>
        <v>0</v>
      </c>
      <c r="O17" s="1" t="s">
        <v>559</v>
      </c>
    </row>
    <row r="18" spans="2:20" ht="14.1" customHeight="1">
      <c r="B18" s="1" t="s">
        <v>68</v>
      </c>
      <c r="C18" s="29">
        <f>H41</f>
        <v>0</v>
      </c>
      <c r="D18" s="18">
        <f t="shared" si="3"/>
        <v>10</v>
      </c>
      <c r="E18" s="1">
        <v>10</v>
      </c>
      <c r="F18" s="8">
        <f t="shared" si="0"/>
        <v>0</v>
      </c>
      <c r="G18" s="18">
        <v>25</v>
      </c>
      <c r="H18" s="9">
        <f t="shared" si="1"/>
        <v>0</v>
      </c>
      <c r="I18" s="19">
        <v>49</v>
      </c>
      <c r="J18" s="9">
        <f t="shared" si="2"/>
        <v>0</v>
      </c>
      <c r="K18" s="20">
        <v>34</v>
      </c>
      <c r="M18" s="1" t="s">
        <v>489</v>
      </c>
      <c r="N18" s="240" t="str">
        <f>TEXT(N17, "#,##0")</f>
        <v>0</v>
      </c>
      <c r="O18" s="1" t="s">
        <v>559</v>
      </c>
      <c r="R18" s="1">
        <f>R13*2</f>
        <v>0</v>
      </c>
      <c r="T18" s="240" t="str">
        <f>IF(M7="3Y",CONCATENATE(M18,N18,O18,P18,Q18,R18),"")</f>
        <v/>
      </c>
    </row>
    <row r="19" spans="2:20" ht="14.1" customHeight="1">
      <c r="D19" s="18">
        <f t="shared" si="3"/>
        <v>11</v>
      </c>
      <c r="E19" s="1">
        <v>11</v>
      </c>
      <c r="F19" s="8">
        <f t="shared" si="0"/>
        <v>0</v>
      </c>
      <c r="G19" s="18">
        <v>26</v>
      </c>
      <c r="H19" s="9">
        <f t="shared" si="1"/>
        <v>0</v>
      </c>
      <c r="I19" s="19">
        <v>47</v>
      </c>
      <c r="J19" s="9">
        <f t="shared" si="2"/>
        <v>0</v>
      </c>
      <c r="K19" s="20">
        <v>32</v>
      </c>
    </row>
    <row r="20" spans="2:20" ht="14.1" customHeight="1">
      <c r="B20" s="1" t="s">
        <v>44</v>
      </c>
      <c r="D20" s="18">
        <f t="shared" si="3"/>
        <v>12</v>
      </c>
      <c r="E20" s="1">
        <v>12</v>
      </c>
      <c r="F20" s="8">
        <f t="shared" si="0"/>
        <v>0</v>
      </c>
      <c r="G20" s="18">
        <v>27</v>
      </c>
      <c r="H20" s="9">
        <f t="shared" si="1"/>
        <v>0</v>
      </c>
      <c r="I20" s="19">
        <v>45</v>
      </c>
      <c r="J20" s="9">
        <f t="shared" si="2"/>
        <v>0</v>
      </c>
      <c r="K20" s="20">
        <v>32</v>
      </c>
      <c r="M20" s="1" t="s">
        <v>560</v>
      </c>
    </row>
    <row r="21" spans="2:20" ht="14.1" customHeight="1">
      <c r="B21" s="1" t="s">
        <v>64</v>
      </c>
      <c r="D21" s="18">
        <f t="shared" si="3"/>
        <v>13</v>
      </c>
      <c r="E21" s="1">
        <v>13</v>
      </c>
      <c r="F21" s="8">
        <f t="shared" si="0"/>
        <v>0</v>
      </c>
      <c r="G21" s="18">
        <v>28</v>
      </c>
      <c r="H21" s="9">
        <f t="shared" si="1"/>
        <v>0</v>
      </c>
      <c r="I21" s="19">
        <v>43</v>
      </c>
      <c r="J21" s="9">
        <f t="shared" si="2"/>
        <v>0</v>
      </c>
      <c r="K21" s="20">
        <v>32</v>
      </c>
      <c r="M21" s="1" t="s">
        <v>487</v>
      </c>
      <c r="N21" s="1">
        <f>R13</f>
        <v>0</v>
      </c>
      <c r="O21" s="1" t="s">
        <v>561</v>
      </c>
    </row>
    <row r="22" spans="2:20" ht="14.1" customHeight="1">
      <c r="B22" s="1" t="s">
        <v>68</v>
      </c>
      <c r="C22" s="29">
        <f>J41</f>
        <v>0</v>
      </c>
      <c r="D22" s="18">
        <f t="shared" si="3"/>
        <v>14</v>
      </c>
      <c r="E22" s="1">
        <v>14</v>
      </c>
      <c r="F22" s="8">
        <f t="shared" si="0"/>
        <v>0</v>
      </c>
      <c r="G22" s="18">
        <v>29</v>
      </c>
      <c r="H22" s="9">
        <f t="shared" si="1"/>
        <v>0</v>
      </c>
      <c r="I22" s="19">
        <v>41</v>
      </c>
      <c r="J22" s="9">
        <f t="shared" si="2"/>
        <v>0</v>
      </c>
      <c r="K22" s="20">
        <v>32</v>
      </c>
    </row>
    <row r="23" spans="2:20" ht="14.1" customHeight="1">
      <c r="D23" s="18">
        <f t="shared" si="3"/>
        <v>15</v>
      </c>
      <c r="E23" s="1">
        <v>15</v>
      </c>
      <c r="F23" s="8">
        <f t="shared" si="0"/>
        <v>0</v>
      </c>
      <c r="G23" s="18">
        <v>30</v>
      </c>
      <c r="H23" s="9">
        <f t="shared" si="1"/>
        <v>0</v>
      </c>
      <c r="I23" s="19">
        <v>40</v>
      </c>
      <c r="J23" s="9">
        <f t="shared" si="2"/>
        <v>0</v>
      </c>
      <c r="K23" s="20">
        <v>32</v>
      </c>
    </row>
    <row r="24" spans="2:20" ht="14.1" customHeight="1">
      <c r="D24" s="18">
        <f t="shared" si="3"/>
        <v>16</v>
      </c>
      <c r="E24" s="1">
        <v>16</v>
      </c>
      <c r="F24" s="8">
        <f t="shared" si="0"/>
        <v>0</v>
      </c>
      <c r="G24" s="18">
        <v>31</v>
      </c>
      <c r="H24" s="9">
        <f t="shared" si="1"/>
        <v>0</v>
      </c>
      <c r="I24" s="19">
        <v>39</v>
      </c>
      <c r="J24" s="9">
        <f t="shared" si="2"/>
        <v>0</v>
      </c>
      <c r="K24" s="20">
        <v>28</v>
      </c>
    </row>
    <row r="25" spans="2:20" ht="14.1" customHeight="1">
      <c r="D25" s="18">
        <f t="shared" si="3"/>
        <v>17</v>
      </c>
      <c r="E25" s="1">
        <v>17</v>
      </c>
      <c r="F25" s="8">
        <f t="shared" si="0"/>
        <v>0</v>
      </c>
      <c r="G25" s="18">
        <v>32</v>
      </c>
      <c r="H25" s="9">
        <f t="shared" si="1"/>
        <v>0</v>
      </c>
      <c r="I25" s="19">
        <v>38</v>
      </c>
      <c r="J25" s="9">
        <f t="shared" si="2"/>
        <v>0</v>
      </c>
      <c r="K25" s="20">
        <v>28</v>
      </c>
    </row>
    <row r="26" spans="2:20" ht="14.1" customHeight="1">
      <c r="D26" s="18">
        <f t="shared" si="3"/>
        <v>18</v>
      </c>
      <c r="E26" s="1">
        <v>18</v>
      </c>
      <c r="F26" s="8">
        <f t="shared" si="0"/>
        <v>0</v>
      </c>
      <c r="G26" s="18">
        <v>33</v>
      </c>
      <c r="H26" s="9">
        <f t="shared" si="1"/>
        <v>0</v>
      </c>
      <c r="I26" s="19">
        <v>37</v>
      </c>
      <c r="J26" s="9">
        <f t="shared" si="2"/>
        <v>0</v>
      </c>
      <c r="K26" s="20">
        <v>28</v>
      </c>
    </row>
    <row r="27" spans="2:20" ht="14.1" customHeight="1">
      <c r="D27" s="18">
        <f t="shared" si="3"/>
        <v>19</v>
      </c>
      <c r="E27" s="1">
        <v>19</v>
      </c>
      <c r="F27" s="8">
        <f t="shared" si="0"/>
        <v>0</v>
      </c>
      <c r="G27" s="18">
        <v>34</v>
      </c>
      <c r="H27" s="9">
        <f t="shared" si="1"/>
        <v>0</v>
      </c>
      <c r="I27" s="19">
        <v>36</v>
      </c>
      <c r="J27" s="9">
        <f t="shared" si="2"/>
        <v>0</v>
      </c>
      <c r="K27" s="20">
        <v>28</v>
      </c>
    </row>
    <row r="28" spans="2:20" ht="14.1" customHeight="1">
      <c r="B28" s="56"/>
      <c r="D28" s="18">
        <f t="shared" si="3"/>
        <v>20</v>
      </c>
      <c r="E28" s="1">
        <v>20</v>
      </c>
      <c r="F28" s="8">
        <f t="shared" si="0"/>
        <v>0</v>
      </c>
      <c r="G28" s="18">
        <v>35</v>
      </c>
      <c r="H28" s="9">
        <f t="shared" si="1"/>
        <v>0</v>
      </c>
      <c r="I28" s="19">
        <v>35</v>
      </c>
      <c r="J28" s="9">
        <f t="shared" si="2"/>
        <v>0</v>
      </c>
      <c r="K28" s="20">
        <v>28</v>
      </c>
    </row>
    <row r="29" spans="2:20" ht="14.1" customHeight="1">
      <c r="D29" s="18">
        <f t="shared" si="3"/>
        <v>21</v>
      </c>
      <c r="E29" s="1">
        <v>21</v>
      </c>
      <c r="F29" s="8">
        <f t="shared" si="0"/>
        <v>0</v>
      </c>
      <c r="G29" s="18">
        <v>36</v>
      </c>
      <c r="H29" s="9">
        <f t="shared" si="1"/>
        <v>0</v>
      </c>
      <c r="I29" s="19">
        <v>34</v>
      </c>
      <c r="J29" s="9">
        <f t="shared" si="2"/>
        <v>0</v>
      </c>
      <c r="K29" s="20">
        <v>26</v>
      </c>
    </row>
    <row r="30" spans="2:20" ht="14.1" customHeight="1">
      <c r="D30" s="18">
        <f t="shared" si="3"/>
        <v>22</v>
      </c>
      <c r="E30" s="1">
        <v>22</v>
      </c>
      <c r="F30" s="8">
        <f t="shared" si="0"/>
        <v>0</v>
      </c>
      <c r="G30" s="18">
        <v>37</v>
      </c>
      <c r="H30" s="9">
        <f t="shared" si="1"/>
        <v>0</v>
      </c>
      <c r="I30" s="19">
        <v>33</v>
      </c>
      <c r="J30" s="9">
        <f t="shared" si="2"/>
        <v>0</v>
      </c>
      <c r="K30" s="20">
        <v>26</v>
      </c>
    </row>
    <row r="31" spans="2:20" ht="14.1" customHeight="1">
      <c r="D31" s="18">
        <f t="shared" si="3"/>
        <v>23</v>
      </c>
      <c r="E31" s="1">
        <v>23</v>
      </c>
      <c r="F31" s="8">
        <f t="shared" si="0"/>
        <v>0</v>
      </c>
      <c r="G31" s="18">
        <v>38</v>
      </c>
      <c r="H31" s="9">
        <f t="shared" si="1"/>
        <v>0</v>
      </c>
      <c r="I31" s="19">
        <v>32</v>
      </c>
      <c r="J31" s="9">
        <f t="shared" si="2"/>
        <v>0</v>
      </c>
      <c r="K31" s="20">
        <v>26</v>
      </c>
    </row>
    <row r="32" spans="2:20" ht="14.1" customHeight="1">
      <c r="D32" s="18">
        <f t="shared" si="3"/>
        <v>24</v>
      </c>
      <c r="E32" s="1">
        <v>24</v>
      </c>
      <c r="F32" s="8">
        <f t="shared" si="0"/>
        <v>0</v>
      </c>
      <c r="G32" s="18">
        <v>39</v>
      </c>
      <c r="H32" s="9">
        <f t="shared" si="1"/>
        <v>0</v>
      </c>
      <c r="I32" s="19">
        <v>31</v>
      </c>
      <c r="J32" s="9">
        <f t="shared" si="2"/>
        <v>0</v>
      </c>
      <c r="K32" s="20">
        <v>26</v>
      </c>
    </row>
    <row r="33" spans="4:14" ht="14.1" customHeight="1">
      <c r="D33" s="18">
        <f t="shared" si="3"/>
        <v>25</v>
      </c>
      <c r="E33" s="1">
        <v>25</v>
      </c>
      <c r="F33" s="8">
        <f t="shared" si="0"/>
        <v>0</v>
      </c>
      <c r="G33" s="18">
        <v>40</v>
      </c>
      <c r="H33" s="9">
        <f t="shared" si="1"/>
        <v>0</v>
      </c>
      <c r="I33" s="19">
        <v>30</v>
      </c>
      <c r="J33" s="9">
        <f t="shared" si="2"/>
        <v>0</v>
      </c>
      <c r="K33" s="20">
        <v>26</v>
      </c>
    </row>
    <row r="34" spans="4:14" ht="14.1" customHeight="1">
      <c r="D34" s="18" t="s">
        <v>46</v>
      </c>
      <c r="E34" s="1">
        <v>26</v>
      </c>
      <c r="F34" s="8">
        <f>IF(AND($C$10&gt;25,$C$10&lt;41)=TRUE,(15+($C$10*1)),IF(AND($C$10&gt;25,$C$10&lt;41)=FALSE,0))</f>
        <v>0</v>
      </c>
      <c r="G34" s="18" t="s">
        <v>47</v>
      </c>
      <c r="H34" s="9">
        <f>IF($C$10&gt;25,I34/100,IF($C$10&gt;-99999,0))</f>
        <v>0</v>
      </c>
      <c r="I34" s="19">
        <v>30</v>
      </c>
      <c r="J34" s="9">
        <f>IF(AND($C$10&gt;25,$C$10&lt;31)=TRUE,(K34/100),IF($C$10&gt;-99999,0))</f>
        <v>0</v>
      </c>
      <c r="K34" s="20">
        <v>24</v>
      </c>
    </row>
    <row r="35" spans="4:14" ht="14.1" customHeight="1">
      <c r="D35" s="18" t="s">
        <v>48</v>
      </c>
      <c r="E35" s="1">
        <v>31</v>
      </c>
      <c r="F35" s="8"/>
      <c r="G35" s="18" t="s">
        <v>49</v>
      </c>
      <c r="H35" s="9"/>
      <c r="I35" s="19">
        <v>30</v>
      </c>
      <c r="J35" s="9">
        <f>IF(AND($C$10&gt;30,$C$10&lt;41)=TRUE,(K35/100),IF($C$10&gt;-99999,0))</f>
        <v>0</v>
      </c>
      <c r="K35" s="20">
        <v>22</v>
      </c>
    </row>
    <row r="36" spans="4:14" ht="14.1" customHeight="1">
      <c r="D36" s="18" t="s">
        <v>50</v>
      </c>
      <c r="E36" s="1">
        <v>41</v>
      </c>
      <c r="F36" s="8">
        <f>IF($C$10&gt;40,(25+($C$10*0.75)),IF($C$10&lt;41,0))</f>
        <v>0</v>
      </c>
      <c r="G36" s="18" t="s">
        <v>51</v>
      </c>
      <c r="H36" s="9"/>
      <c r="I36" s="19">
        <v>30</v>
      </c>
      <c r="J36" s="9">
        <f>IF(AND($C$10&gt;40,$C$10&lt;51)=TRUE,(K36/100),IF($C$10&gt;-99999,0))</f>
        <v>0</v>
      </c>
      <c r="K36" s="20">
        <v>20</v>
      </c>
    </row>
    <row r="37" spans="4:14" ht="14.1" customHeight="1">
      <c r="D37" s="18" t="s">
        <v>52</v>
      </c>
      <c r="E37" s="1">
        <v>51</v>
      </c>
      <c r="F37" s="8"/>
      <c r="G37" s="18" t="s">
        <v>53</v>
      </c>
      <c r="H37" s="9"/>
      <c r="I37" s="19">
        <v>30</v>
      </c>
      <c r="J37" s="9">
        <f>IF(AND($C$10&gt;50,$C$10&lt;61)=TRUE,(K37/100),IF($C$10&gt;-99999,0))</f>
        <v>0</v>
      </c>
      <c r="K37" s="20">
        <v>18</v>
      </c>
    </row>
    <row r="38" spans="4:14" ht="14.1" customHeight="1">
      <c r="D38" s="21" t="s">
        <v>54</v>
      </c>
      <c r="E38" s="22">
        <v>61</v>
      </c>
      <c r="F38" s="23"/>
      <c r="G38" s="21" t="s">
        <v>55</v>
      </c>
      <c r="H38" s="24"/>
      <c r="I38" s="25">
        <v>30</v>
      </c>
      <c r="J38" s="24">
        <f>IF($C$10&gt;60,(K38/100),IF($C$10&gt;-99999,0))</f>
        <v>0</v>
      </c>
      <c r="K38" s="26">
        <v>16</v>
      </c>
    </row>
    <row r="39" spans="4:14" ht="14.1" customHeight="1">
      <c r="D39" s="7"/>
      <c r="F39" s="8"/>
      <c r="G39" s="7"/>
      <c r="H39" s="9"/>
      <c r="I39" s="10"/>
    </row>
    <row r="40" spans="4:14" ht="14.1" customHeight="1">
      <c r="D40" s="7"/>
      <c r="F40" s="8"/>
      <c r="G40" s="7"/>
      <c r="H40" s="9"/>
      <c r="I40" s="10"/>
    </row>
    <row r="41" spans="4:14" ht="14.1" customHeight="1">
      <c r="D41" s="7"/>
      <c r="F41" s="8">
        <f>SUM(F9:F38)</f>
        <v>0</v>
      </c>
      <c r="G41" s="7"/>
      <c r="H41" s="9">
        <f>SUM(H9:H38)</f>
        <v>0</v>
      </c>
      <c r="I41" s="10"/>
      <c r="J41" s="9">
        <f>SUM(J9:J38)</f>
        <v>0</v>
      </c>
    </row>
    <row r="42" spans="4:14" ht="14.1" customHeight="1">
      <c r="D42" s="7"/>
      <c r="F42" s="8"/>
      <c r="G42" s="7"/>
      <c r="H42" s="9"/>
      <c r="I42" s="10"/>
    </row>
    <row r="43" spans="4:14" ht="14.1" customHeight="1">
      <c r="D43" s="7"/>
      <c r="F43" s="8"/>
      <c r="G43" s="7"/>
      <c r="H43" s="9"/>
      <c r="I43" s="10"/>
    </row>
    <row r="44" spans="4:14" ht="14.1" customHeight="1">
      <c r="D44" s="7"/>
      <c r="F44" s="8"/>
      <c r="G44" s="7"/>
      <c r="H44" s="9"/>
      <c r="I44" s="10"/>
    </row>
    <row r="45" spans="4:14" ht="14.1" customHeight="1">
      <c r="D45" s="11"/>
      <c r="F45" s="8"/>
      <c r="G45" s="7"/>
      <c r="H45" s="9"/>
      <c r="I45" s="10"/>
    </row>
    <row r="46" spans="4:14" ht="14.1" customHeight="1">
      <c r="D46" s="11" t="s">
        <v>69</v>
      </c>
      <c r="F46" s="8"/>
      <c r="G46" s="7"/>
      <c r="H46" s="9"/>
      <c r="I46" s="10"/>
    </row>
    <row r="47" spans="4:14" ht="14.1" customHeight="1">
      <c r="D47" s="7"/>
      <c r="F47" s="8"/>
      <c r="G47" s="7"/>
      <c r="H47" s="9"/>
      <c r="I47" s="10"/>
    </row>
    <row r="48" spans="4:14" ht="14.1" customHeight="1">
      <c r="D48" s="12" t="s">
        <v>30</v>
      </c>
      <c r="E48" s="12"/>
      <c r="F48" s="30"/>
      <c r="G48" s="12" t="s">
        <v>56</v>
      </c>
      <c r="H48" s="9"/>
      <c r="I48" s="10"/>
      <c r="M48" s="373">
        <f>Input!J9</f>
        <v>1</v>
      </c>
      <c r="N48" s="6"/>
    </row>
    <row r="49" spans="2:22" ht="14.1" customHeight="1">
      <c r="D49" s="18" t="s">
        <v>34</v>
      </c>
      <c r="E49" s="18"/>
      <c r="F49" s="31"/>
      <c r="G49" s="18" t="s">
        <v>57</v>
      </c>
      <c r="H49" s="9"/>
      <c r="I49" s="10"/>
    </row>
    <row r="50" spans="2:22" ht="14.1" customHeight="1">
      <c r="D50" s="18" t="s">
        <v>58</v>
      </c>
      <c r="E50" s="18"/>
      <c r="F50" s="31"/>
      <c r="G50" s="18" t="s">
        <v>59</v>
      </c>
      <c r="H50" s="9"/>
      <c r="I50" s="10"/>
      <c r="M50" s="1">
        <f>Input!E7</f>
        <v>2008</v>
      </c>
    </row>
    <row r="51" spans="2:22" ht="14.1" customHeight="1">
      <c r="C51" s="32"/>
      <c r="D51" s="18"/>
      <c r="E51" s="18"/>
      <c r="F51" s="31"/>
      <c r="G51" s="18"/>
      <c r="H51" s="9"/>
      <c r="I51" s="10"/>
    </row>
    <row r="52" spans="2:22" ht="14.1" customHeight="1">
      <c r="B52" s="1" t="s">
        <v>60</v>
      </c>
      <c r="C52" s="40">
        <f>Input!E32</f>
        <v>1</v>
      </c>
      <c r="D52" s="12">
        <v>1</v>
      </c>
      <c r="E52" s="12">
        <v>1</v>
      </c>
      <c r="F52" s="33">
        <f t="shared" ref="F52:F62" si="4">IF($C$52=E52,G52,IF($C$52&gt;-99999,0))</f>
        <v>100</v>
      </c>
      <c r="G52" s="12">
        <v>100</v>
      </c>
      <c r="H52" s="9"/>
      <c r="I52" s="10"/>
      <c r="M52" s="287" t="str">
        <f>IF(N52=0,"NO DRYER",IF(N52=1,"DRYER ( ","DRYERS ( "))</f>
        <v xml:space="preserve">DRYER ( </v>
      </c>
      <c r="N52" s="42">
        <f>C52</f>
        <v>1</v>
      </c>
      <c r="O52" s="56" t="s">
        <v>557</v>
      </c>
      <c r="P52" s="1">
        <f>ROUND(Input!F32*1000,0)</f>
        <v>5000</v>
      </c>
      <c r="Q52" s="240" t="str">
        <f>IF(N52=1," VA )"," VA EA )")</f>
        <v xml:space="preserve"> VA )</v>
      </c>
      <c r="R52" s="374"/>
      <c r="S52" s="240"/>
      <c r="T52" s="240"/>
    </row>
    <row r="53" spans="2:22" ht="14.1" customHeight="1">
      <c r="D53" s="18">
        <v>2</v>
      </c>
      <c r="E53" s="18">
        <v>2</v>
      </c>
      <c r="F53" s="34">
        <f t="shared" si="4"/>
        <v>0</v>
      </c>
      <c r="G53" s="18">
        <v>100</v>
      </c>
      <c r="H53" s="9"/>
      <c r="I53" s="10"/>
      <c r="M53" s="1" t="str">
        <f>TEXT(M52, "#,##0")</f>
        <v xml:space="preserve">DRYER ( </v>
      </c>
      <c r="N53" s="240" t="str">
        <f>TEXT(N52, "#,##0")</f>
        <v>1</v>
      </c>
      <c r="O53" s="1" t="str">
        <f>TEXT(O52, "#,##0")</f>
        <v xml:space="preserve"> AT </v>
      </c>
      <c r="P53" s="240" t="str">
        <f>TEXT(P52, "#,##0")</f>
        <v>5,000</v>
      </c>
      <c r="Q53" s="240" t="str">
        <f>Q52</f>
        <v xml:space="preserve"> VA )</v>
      </c>
      <c r="R53" s="240"/>
      <c r="S53" s="240"/>
      <c r="T53" s="240"/>
      <c r="V53" s="1" t="str">
        <f>CONCATENATE(M53,N53,O53,P53,Q53)</f>
        <v>DRYER ( 1 AT 5,000 VA )</v>
      </c>
    </row>
    <row r="54" spans="2:22" ht="14.1" customHeight="1">
      <c r="B54" s="1" t="s">
        <v>61</v>
      </c>
      <c r="C54" s="35">
        <f>F97</f>
        <v>100</v>
      </c>
      <c r="D54" s="18">
        <v>3</v>
      </c>
      <c r="E54" s="18">
        <v>3</v>
      </c>
      <c r="F54" s="34">
        <f t="shared" si="4"/>
        <v>0</v>
      </c>
      <c r="G54" s="18">
        <v>100</v>
      </c>
      <c r="H54" s="9"/>
      <c r="I54" s="10"/>
      <c r="N54" s="42">
        <f>N52</f>
        <v>1</v>
      </c>
      <c r="O54" s="1" t="s">
        <v>556</v>
      </c>
      <c r="P54" s="56">
        <f>P52</f>
        <v>5000</v>
      </c>
      <c r="R54" s="1">
        <f>C54/100</f>
        <v>1</v>
      </c>
      <c r="T54" s="1">
        <f>ROUND(N54*P54*R54,0)</f>
        <v>5000</v>
      </c>
    </row>
    <row r="55" spans="2:22" ht="14.1" customHeight="1">
      <c r="D55" s="18">
        <v>4</v>
      </c>
      <c r="E55" s="18">
        <v>4</v>
      </c>
      <c r="F55" s="34">
        <f t="shared" si="4"/>
        <v>0</v>
      </c>
      <c r="G55" s="18">
        <v>100</v>
      </c>
      <c r="H55" s="9"/>
      <c r="I55" s="10"/>
      <c r="M55" s="1" t="str">
        <f>IF(M50=2002,"PER TABLE 220.18 ( ","PER TABLE 220.54 ( ")</f>
        <v xml:space="preserve">PER TABLE 220.54 ( </v>
      </c>
      <c r="N55" s="240" t="str">
        <f>TEXT(N54, "#,##0")</f>
        <v>1</v>
      </c>
      <c r="O55" s="1" t="s">
        <v>76</v>
      </c>
      <c r="P55" s="240" t="str">
        <f>TEXT(P54, "#,##0")</f>
        <v>5,000</v>
      </c>
      <c r="Q55" s="1" t="s">
        <v>76</v>
      </c>
      <c r="R55" s="240" t="str">
        <f>TEXT(R54, "#,##0.00")</f>
        <v>1.00</v>
      </c>
      <c r="S55" s="240" t="s">
        <v>260</v>
      </c>
      <c r="T55" s="240" t="str">
        <f>TEXT(T54, "#,##0")</f>
        <v>5,000</v>
      </c>
      <c r="U55" s="1" t="s">
        <v>488</v>
      </c>
      <c r="V55" s="1" t="str">
        <f>IF(M48=1,CONCATENATE(M55,N55,O55,P55,Q55,R55,S55),CONCATENATE(M55,N55,O55,P55,Q55,R55,S55,T55,U55))</f>
        <v xml:space="preserve">PER TABLE 220.54 ( 1 X 5,000 X 1.00 ) = </v>
      </c>
    </row>
    <row r="56" spans="2:22" ht="14.1" customHeight="1">
      <c r="C56" s="1" t="str">
        <f>Calcs!AX35</f>
        <v/>
      </c>
      <c r="D56" s="18">
        <v>5</v>
      </c>
      <c r="E56" s="18">
        <v>5</v>
      </c>
      <c r="F56" s="34">
        <f t="shared" si="4"/>
        <v>0</v>
      </c>
      <c r="G56" s="18">
        <v>85</v>
      </c>
      <c r="H56" s="9"/>
      <c r="I56" s="10"/>
    </row>
    <row r="57" spans="2:22" ht="14.1" customHeight="1">
      <c r="D57" s="18">
        <v>6</v>
      </c>
      <c r="E57" s="18">
        <v>6</v>
      </c>
      <c r="F57" s="34">
        <f t="shared" si="4"/>
        <v>0</v>
      </c>
      <c r="G57" s="18">
        <v>75</v>
      </c>
      <c r="H57" s="9"/>
      <c r="I57" s="10"/>
    </row>
    <row r="58" spans="2:22" ht="14.1" customHeight="1">
      <c r="C58" s="1" t="e">
        <f>C56*C54/100</f>
        <v>#VALUE!</v>
      </c>
      <c r="D58" s="18">
        <v>7</v>
      </c>
      <c r="E58" s="18">
        <v>7</v>
      </c>
      <c r="F58" s="34">
        <f t="shared" si="4"/>
        <v>0</v>
      </c>
      <c r="G58" s="18">
        <v>65</v>
      </c>
      <c r="H58" s="9"/>
      <c r="I58" s="10"/>
      <c r="M58" s="1" t="s">
        <v>489</v>
      </c>
      <c r="N58" s="1">
        <f>R54</f>
        <v>1</v>
      </c>
      <c r="O58" s="1" t="s">
        <v>559</v>
      </c>
    </row>
    <row r="59" spans="2:22" ht="14.1" customHeight="1">
      <c r="D59" s="18">
        <v>8</v>
      </c>
      <c r="E59" s="18">
        <v>8</v>
      </c>
      <c r="F59" s="34">
        <f t="shared" si="4"/>
        <v>0</v>
      </c>
      <c r="G59" s="18">
        <v>60</v>
      </c>
      <c r="H59" s="9"/>
      <c r="I59" s="10"/>
      <c r="M59" s="1" t="s">
        <v>489</v>
      </c>
      <c r="N59" s="240" t="str">
        <f>TEXT(N58, "#,##0")</f>
        <v>1</v>
      </c>
      <c r="O59" s="1" t="s">
        <v>559</v>
      </c>
      <c r="R59" s="1">
        <f>R54*2</f>
        <v>2</v>
      </c>
      <c r="T59" s="240" t="str">
        <f>IF(M48="3Y",CONCATENATE(M59,N59,O59,P59,Q59,R59),"")</f>
        <v/>
      </c>
    </row>
    <row r="60" spans="2:22" ht="14.1" customHeight="1">
      <c r="D60" s="18">
        <v>9</v>
      </c>
      <c r="E60" s="18">
        <v>9</v>
      </c>
      <c r="F60" s="34">
        <f t="shared" si="4"/>
        <v>0</v>
      </c>
      <c r="G60" s="18">
        <v>55</v>
      </c>
      <c r="H60" s="9"/>
      <c r="I60" s="10"/>
    </row>
    <row r="61" spans="2:22" ht="14.1" customHeight="1">
      <c r="D61" s="18">
        <v>10</v>
      </c>
      <c r="E61" s="18">
        <v>10</v>
      </c>
      <c r="F61" s="34">
        <f t="shared" si="4"/>
        <v>0</v>
      </c>
      <c r="G61" s="18">
        <v>50</v>
      </c>
      <c r="H61" s="9"/>
      <c r="I61" s="10"/>
      <c r="M61" s="1" t="s">
        <v>560</v>
      </c>
    </row>
    <row r="62" spans="2:22" ht="14.1" customHeight="1">
      <c r="D62" s="18">
        <v>11</v>
      </c>
      <c r="E62" s="18">
        <f>E61+1</f>
        <v>11</v>
      </c>
      <c r="F62" s="34">
        <f t="shared" si="4"/>
        <v>0</v>
      </c>
      <c r="G62" s="18">
        <v>47</v>
      </c>
      <c r="H62" s="9"/>
      <c r="I62" s="55"/>
      <c r="M62" s="1" t="s">
        <v>487</v>
      </c>
      <c r="N62" s="1">
        <f>R54</f>
        <v>1</v>
      </c>
      <c r="O62" s="1" t="s">
        <v>561</v>
      </c>
    </row>
    <row r="63" spans="2:22" ht="14.1" customHeight="1">
      <c r="D63" s="57">
        <v>12</v>
      </c>
      <c r="E63" s="57">
        <f>E62+1</f>
        <v>12</v>
      </c>
      <c r="F63" s="58">
        <f t="shared" ref="F63:F71" si="5">IF($C$52=E63,G63,IF($C$52&gt;-99999,0))</f>
        <v>0</v>
      </c>
      <c r="G63" s="57">
        <f>(47-(E63-11))</f>
        <v>46</v>
      </c>
      <c r="H63" s="9"/>
      <c r="I63" s="55">
        <f>(47-(E63-11))</f>
        <v>46</v>
      </c>
      <c r="J63" s="1">
        <f>I63*1</f>
        <v>46</v>
      </c>
      <c r="K63" s="1">
        <f>IF(G63=J63,0,99)</f>
        <v>0</v>
      </c>
    </row>
    <row r="64" spans="2:22" ht="14.1" customHeight="1">
      <c r="D64" s="57">
        <v>13</v>
      </c>
      <c r="E64" s="57">
        <f t="shared" ref="E64:E73" si="6">E63+1</f>
        <v>13</v>
      </c>
      <c r="F64" s="58">
        <f t="shared" si="5"/>
        <v>0</v>
      </c>
      <c r="G64" s="57">
        <f t="shared" ref="G64:G73" si="7">(47-(E64-11))</f>
        <v>45</v>
      </c>
      <c r="H64" s="9"/>
      <c r="I64" s="55">
        <f>(47-(E64-11))</f>
        <v>45</v>
      </c>
      <c r="J64" s="1">
        <f>I64*1</f>
        <v>45</v>
      </c>
      <c r="K64" s="1">
        <f>IF(G64=J64,0,99)</f>
        <v>0</v>
      </c>
    </row>
    <row r="65" spans="3:11" ht="14.1" customHeight="1">
      <c r="D65" s="57">
        <v>14</v>
      </c>
      <c r="E65" s="57">
        <f t="shared" si="6"/>
        <v>14</v>
      </c>
      <c r="F65" s="58">
        <f t="shared" si="5"/>
        <v>0</v>
      </c>
      <c r="G65" s="57">
        <f t="shared" si="7"/>
        <v>44</v>
      </c>
      <c r="H65" s="9"/>
      <c r="I65" s="55">
        <f t="shared" ref="I65:I73" si="8">(47-(E65-11))</f>
        <v>44</v>
      </c>
      <c r="J65" s="1">
        <f t="shared" ref="J65:J93" si="9">I65*1</f>
        <v>44</v>
      </c>
      <c r="K65" s="1">
        <f t="shared" ref="K65:K94" si="10">IF(G65=J65,0,99)</f>
        <v>0</v>
      </c>
    </row>
    <row r="66" spans="3:11" ht="14.1" customHeight="1">
      <c r="D66" s="57">
        <v>15</v>
      </c>
      <c r="E66" s="57">
        <f t="shared" si="6"/>
        <v>15</v>
      </c>
      <c r="F66" s="58">
        <f t="shared" si="5"/>
        <v>0</v>
      </c>
      <c r="G66" s="57">
        <f t="shared" si="7"/>
        <v>43</v>
      </c>
      <c r="H66" s="9"/>
      <c r="I66" s="55">
        <f t="shared" si="8"/>
        <v>43</v>
      </c>
      <c r="J66" s="1">
        <f t="shared" si="9"/>
        <v>43</v>
      </c>
      <c r="K66" s="1">
        <f t="shared" si="10"/>
        <v>0</v>
      </c>
    </row>
    <row r="67" spans="3:11" ht="14.1" customHeight="1">
      <c r="D67" s="57">
        <v>16</v>
      </c>
      <c r="E67" s="57">
        <f t="shared" si="6"/>
        <v>16</v>
      </c>
      <c r="F67" s="58">
        <f t="shared" si="5"/>
        <v>0</v>
      </c>
      <c r="G67" s="57">
        <f t="shared" si="7"/>
        <v>42</v>
      </c>
      <c r="H67" s="9"/>
      <c r="I67" s="55">
        <f t="shared" si="8"/>
        <v>42</v>
      </c>
      <c r="J67" s="1">
        <f t="shared" si="9"/>
        <v>42</v>
      </c>
      <c r="K67" s="1">
        <f t="shared" si="10"/>
        <v>0</v>
      </c>
    </row>
    <row r="68" spans="3:11" ht="14.1" customHeight="1">
      <c r="D68" s="57">
        <v>17</v>
      </c>
      <c r="E68" s="57">
        <f t="shared" si="6"/>
        <v>17</v>
      </c>
      <c r="F68" s="58">
        <f t="shared" si="5"/>
        <v>0</v>
      </c>
      <c r="G68" s="57">
        <f t="shared" si="7"/>
        <v>41</v>
      </c>
      <c r="H68" s="9"/>
      <c r="I68" s="55">
        <f t="shared" si="8"/>
        <v>41</v>
      </c>
      <c r="J68" s="1">
        <f t="shared" si="9"/>
        <v>41</v>
      </c>
      <c r="K68" s="1">
        <f t="shared" si="10"/>
        <v>0</v>
      </c>
    </row>
    <row r="69" spans="3:11" ht="14.1" customHeight="1">
      <c r="D69" s="57">
        <v>18</v>
      </c>
      <c r="E69" s="57">
        <f t="shared" si="6"/>
        <v>18</v>
      </c>
      <c r="F69" s="58">
        <f t="shared" si="5"/>
        <v>0</v>
      </c>
      <c r="G69" s="57">
        <f t="shared" si="7"/>
        <v>40</v>
      </c>
      <c r="H69" s="9"/>
      <c r="I69" s="55">
        <f t="shared" si="8"/>
        <v>40</v>
      </c>
      <c r="J69" s="1">
        <f t="shared" si="9"/>
        <v>40</v>
      </c>
      <c r="K69" s="1">
        <f t="shared" si="10"/>
        <v>0</v>
      </c>
    </row>
    <row r="70" spans="3:11" ht="14.1" customHeight="1">
      <c r="D70" s="57">
        <v>19</v>
      </c>
      <c r="E70" s="57">
        <f t="shared" si="6"/>
        <v>19</v>
      </c>
      <c r="F70" s="58">
        <f t="shared" si="5"/>
        <v>0</v>
      </c>
      <c r="G70" s="57">
        <f t="shared" si="7"/>
        <v>39</v>
      </c>
      <c r="H70" s="9"/>
      <c r="I70" s="55">
        <f t="shared" si="8"/>
        <v>39</v>
      </c>
      <c r="J70" s="1">
        <f t="shared" si="9"/>
        <v>39</v>
      </c>
      <c r="K70" s="1">
        <f t="shared" si="10"/>
        <v>0</v>
      </c>
    </row>
    <row r="71" spans="3:11" ht="14.1" customHeight="1">
      <c r="D71" s="57">
        <v>20</v>
      </c>
      <c r="E71" s="57">
        <f t="shared" si="6"/>
        <v>20</v>
      </c>
      <c r="F71" s="58">
        <f t="shared" si="5"/>
        <v>0</v>
      </c>
      <c r="G71" s="57">
        <f t="shared" si="7"/>
        <v>38</v>
      </c>
      <c r="H71" s="9"/>
      <c r="I71" s="55">
        <f t="shared" si="8"/>
        <v>38</v>
      </c>
      <c r="J71" s="1">
        <f t="shared" si="9"/>
        <v>38</v>
      </c>
      <c r="K71" s="1">
        <f t="shared" si="10"/>
        <v>0</v>
      </c>
    </row>
    <row r="72" spans="3:11" ht="14.1" customHeight="1">
      <c r="D72" s="57">
        <v>21</v>
      </c>
      <c r="E72" s="57">
        <f t="shared" si="6"/>
        <v>21</v>
      </c>
      <c r="F72" s="58">
        <f>IF($C$52=E72,G72,IF($C$52&gt;-99999,0))</f>
        <v>0</v>
      </c>
      <c r="G72" s="57">
        <f t="shared" si="7"/>
        <v>37</v>
      </c>
      <c r="H72" s="9"/>
      <c r="I72" s="55">
        <f t="shared" si="8"/>
        <v>37</v>
      </c>
      <c r="J72" s="1">
        <f t="shared" si="9"/>
        <v>37</v>
      </c>
      <c r="K72" s="1">
        <f t="shared" si="10"/>
        <v>0</v>
      </c>
    </row>
    <row r="73" spans="3:11" ht="14.1" customHeight="1">
      <c r="D73" s="57">
        <v>22</v>
      </c>
      <c r="E73" s="57">
        <f t="shared" si="6"/>
        <v>22</v>
      </c>
      <c r="F73" s="58">
        <f>IF($C$52=E73,G73,IF($C$52&gt;-99999,0))</f>
        <v>0</v>
      </c>
      <c r="G73" s="57">
        <f t="shared" si="7"/>
        <v>36</v>
      </c>
      <c r="H73" s="9"/>
      <c r="I73" s="55">
        <f t="shared" si="8"/>
        <v>36</v>
      </c>
      <c r="J73" s="1">
        <f t="shared" si="9"/>
        <v>36</v>
      </c>
      <c r="K73" s="1">
        <f t="shared" si="10"/>
        <v>0</v>
      </c>
    </row>
    <row r="74" spans="3:11" ht="14.1" customHeight="1">
      <c r="D74" s="18">
        <v>23</v>
      </c>
      <c r="E74" s="18">
        <v>23</v>
      </c>
      <c r="F74" s="34">
        <f>IF($C$52=E74,G74,IF($C$52&gt;-99999,0))</f>
        <v>0</v>
      </c>
      <c r="G74" s="18">
        <v>35</v>
      </c>
      <c r="H74" s="9"/>
      <c r="I74" s="55">
        <v>35</v>
      </c>
      <c r="J74" s="1">
        <f t="shared" si="9"/>
        <v>35</v>
      </c>
      <c r="K74" s="1">
        <f t="shared" si="10"/>
        <v>0</v>
      </c>
    </row>
    <row r="75" spans="3:11" ht="14.1" customHeight="1">
      <c r="C75" s="42"/>
      <c r="D75" s="57">
        <f>D74+1</f>
        <v>24</v>
      </c>
      <c r="E75" s="57">
        <f>E74+1</f>
        <v>24</v>
      </c>
      <c r="F75" s="58">
        <f>IF($C$52=E75,G75,IF($C$52&gt;-99999,0))</f>
        <v>0</v>
      </c>
      <c r="G75" s="57">
        <f>(35-(0.5*(E75-23)))</f>
        <v>34.5</v>
      </c>
      <c r="H75" s="9"/>
      <c r="I75" s="55">
        <f>(35-(0.5*(E75-23)))</f>
        <v>34.5</v>
      </c>
      <c r="J75" s="1">
        <f t="shared" si="9"/>
        <v>34.5</v>
      </c>
      <c r="K75" s="1">
        <f t="shared" si="10"/>
        <v>0</v>
      </c>
    </row>
    <row r="76" spans="3:11" ht="14.1" customHeight="1">
      <c r="D76" s="57">
        <f>D75+1</f>
        <v>25</v>
      </c>
      <c r="E76" s="57">
        <f>E75+1</f>
        <v>25</v>
      </c>
      <c r="F76" s="58">
        <f>IF($C$52=E76,G76,IF($C$52&gt;-99999,0))</f>
        <v>0</v>
      </c>
      <c r="G76" s="57">
        <f t="shared" ref="G76:G93" si="11">(35-(0.5*(E76-23)))</f>
        <v>34</v>
      </c>
      <c r="H76" s="9"/>
      <c r="I76" s="55">
        <f t="shared" ref="I76:I93" si="12">(35-(0.5*(E76-23)))</f>
        <v>34</v>
      </c>
      <c r="J76" s="1">
        <f t="shared" si="9"/>
        <v>34</v>
      </c>
      <c r="K76" s="1">
        <f t="shared" si="10"/>
        <v>0</v>
      </c>
    </row>
    <row r="77" spans="3:11" ht="14.1" customHeight="1">
      <c r="D77" s="57">
        <f t="shared" ref="D77:D92" si="13">D76+1</f>
        <v>26</v>
      </c>
      <c r="E77" s="57">
        <f t="shared" ref="E77:E92" si="14">E76+1</f>
        <v>26</v>
      </c>
      <c r="F77" s="58">
        <f t="shared" ref="F77:F93" si="15">IF($C$52=E77,G77,IF($C$52&gt;-99999,0))</f>
        <v>0</v>
      </c>
      <c r="G77" s="57">
        <f t="shared" si="11"/>
        <v>33.5</v>
      </c>
      <c r="H77" s="9"/>
      <c r="I77" s="55">
        <f t="shared" si="12"/>
        <v>33.5</v>
      </c>
      <c r="J77" s="1">
        <f t="shared" si="9"/>
        <v>33.5</v>
      </c>
      <c r="K77" s="1">
        <f t="shared" si="10"/>
        <v>0</v>
      </c>
    </row>
    <row r="78" spans="3:11" ht="14.1" customHeight="1">
      <c r="D78" s="57">
        <f t="shared" si="13"/>
        <v>27</v>
      </c>
      <c r="E78" s="57">
        <f t="shared" si="14"/>
        <v>27</v>
      </c>
      <c r="F78" s="58">
        <f t="shared" si="15"/>
        <v>0</v>
      </c>
      <c r="G78" s="57">
        <f t="shared" si="11"/>
        <v>33</v>
      </c>
      <c r="H78" s="9"/>
      <c r="I78" s="55">
        <f t="shared" si="12"/>
        <v>33</v>
      </c>
      <c r="J78" s="1">
        <f t="shared" si="9"/>
        <v>33</v>
      </c>
      <c r="K78" s="1">
        <f t="shared" si="10"/>
        <v>0</v>
      </c>
    </row>
    <row r="79" spans="3:11" ht="14.1" customHeight="1">
      <c r="D79" s="57">
        <f t="shared" si="13"/>
        <v>28</v>
      </c>
      <c r="E79" s="57">
        <f t="shared" si="14"/>
        <v>28</v>
      </c>
      <c r="F79" s="58">
        <f t="shared" si="15"/>
        <v>0</v>
      </c>
      <c r="G79" s="57">
        <f t="shared" si="11"/>
        <v>32.5</v>
      </c>
      <c r="H79" s="9"/>
      <c r="I79" s="55">
        <f t="shared" si="12"/>
        <v>32.5</v>
      </c>
      <c r="J79" s="1">
        <f t="shared" si="9"/>
        <v>32.5</v>
      </c>
      <c r="K79" s="1">
        <f t="shared" si="10"/>
        <v>0</v>
      </c>
    </row>
    <row r="80" spans="3:11" ht="14.1" customHeight="1">
      <c r="D80" s="57">
        <f t="shared" si="13"/>
        <v>29</v>
      </c>
      <c r="E80" s="57">
        <f t="shared" si="14"/>
        <v>29</v>
      </c>
      <c r="F80" s="58">
        <f t="shared" si="15"/>
        <v>0</v>
      </c>
      <c r="G80" s="57">
        <f t="shared" si="11"/>
        <v>32</v>
      </c>
      <c r="H80" s="9"/>
      <c r="I80" s="55">
        <f t="shared" si="12"/>
        <v>32</v>
      </c>
      <c r="J80" s="1">
        <f t="shared" si="9"/>
        <v>32</v>
      </c>
      <c r="K80" s="1">
        <f t="shared" si="10"/>
        <v>0</v>
      </c>
    </row>
    <row r="81" spans="4:11" ht="14.1" customHeight="1">
      <c r="D81" s="57">
        <f t="shared" si="13"/>
        <v>30</v>
      </c>
      <c r="E81" s="57">
        <f t="shared" si="14"/>
        <v>30</v>
      </c>
      <c r="F81" s="58">
        <f t="shared" si="15"/>
        <v>0</v>
      </c>
      <c r="G81" s="57">
        <f t="shared" si="11"/>
        <v>31.5</v>
      </c>
      <c r="H81" s="9"/>
      <c r="I81" s="55">
        <f t="shared" si="12"/>
        <v>31.5</v>
      </c>
      <c r="J81" s="1">
        <f t="shared" si="9"/>
        <v>31.5</v>
      </c>
      <c r="K81" s="1">
        <f t="shared" si="10"/>
        <v>0</v>
      </c>
    </row>
    <row r="82" spans="4:11" ht="14.1" customHeight="1">
      <c r="D82" s="57">
        <f t="shared" si="13"/>
        <v>31</v>
      </c>
      <c r="E82" s="57">
        <f t="shared" si="14"/>
        <v>31</v>
      </c>
      <c r="F82" s="58">
        <f t="shared" si="15"/>
        <v>0</v>
      </c>
      <c r="G82" s="57">
        <f t="shared" si="11"/>
        <v>31</v>
      </c>
      <c r="H82" s="9"/>
      <c r="I82" s="55">
        <f t="shared" si="12"/>
        <v>31</v>
      </c>
      <c r="J82" s="1">
        <f t="shared" si="9"/>
        <v>31</v>
      </c>
      <c r="K82" s="1">
        <f t="shared" si="10"/>
        <v>0</v>
      </c>
    </row>
    <row r="83" spans="4:11" ht="14.1" customHeight="1">
      <c r="D83" s="57">
        <f t="shared" si="13"/>
        <v>32</v>
      </c>
      <c r="E83" s="57">
        <f t="shared" si="14"/>
        <v>32</v>
      </c>
      <c r="F83" s="58">
        <f t="shared" si="15"/>
        <v>0</v>
      </c>
      <c r="G83" s="57">
        <f t="shared" si="11"/>
        <v>30.5</v>
      </c>
      <c r="H83" s="9"/>
      <c r="I83" s="55">
        <f t="shared" si="12"/>
        <v>30.5</v>
      </c>
      <c r="J83" s="1">
        <f t="shared" si="9"/>
        <v>30.5</v>
      </c>
      <c r="K83" s="1">
        <f t="shared" si="10"/>
        <v>0</v>
      </c>
    </row>
    <row r="84" spans="4:11" ht="14.1" customHeight="1">
      <c r="D84" s="57">
        <f t="shared" si="13"/>
        <v>33</v>
      </c>
      <c r="E84" s="57">
        <f t="shared" si="14"/>
        <v>33</v>
      </c>
      <c r="F84" s="58">
        <f t="shared" si="15"/>
        <v>0</v>
      </c>
      <c r="G84" s="57">
        <f t="shared" si="11"/>
        <v>30</v>
      </c>
      <c r="H84" s="9"/>
      <c r="I84" s="55">
        <f t="shared" si="12"/>
        <v>30</v>
      </c>
      <c r="J84" s="1">
        <f t="shared" si="9"/>
        <v>30</v>
      </c>
      <c r="K84" s="1">
        <f t="shared" si="10"/>
        <v>0</v>
      </c>
    </row>
    <row r="85" spans="4:11" ht="14.1" customHeight="1">
      <c r="D85" s="57">
        <f t="shared" si="13"/>
        <v>34</v>
      </c>
      <c r="E85" s="57">
        <f t="shared" si="14"/>
        <v>34</v>
      </c>
      <c r="F85" s="58">
        <f t="shared" si="15"/>
        <v>0</v>
      </c>
      <c r="G85" s="57">
        <f t="shared" si="11"/>
        <v>29.5</v>
      </c>
      <c r="H85" s="9"/>
      <c r="I85" s="55">
        <f t="shared" si="12"/>
        <v>29.5</v>
      </c>
      <c r="J85" s="1">
        <f t="shared" si="9"/>
        <v>29.5</v>
      </c>
      <c r="K85" s="1">
        <f t="shared" si="10"/>
        <v>0</v>
      </c>
    </row>
    <row r="86" spans="4:11" ht="14.1" customHeight="1">
      <c r="D86" s="57">
        <f t="shared" si="13"/>
        <v>35</v>
      </c>
      <c r="E86" s="57">
        <f t="shared" si="14"/>
        <v>35</v>
      </c>
      <c r="F86" s="58">
        <f t="shared" si="15"/>
        <v>0</v>
      </c>
      <c r="G86" s="57">
        <f t="shared" si="11"/>
        <v>29</v>
      </c>
      <c r="H86" s="9"/>
      <c r="I86" s="55">
        <f t="shared" si="12"/>
        <v>29</v>
      </c>
      <c r="J86" s="1">
        <f t="shared" si="9"/>
        <v>29</v>
      </c>
      <c r="K86" s="1">
        <f t="shared" si="10"/>
        <v>0</v>
      </c>
    </row>
    <row r="87" spans="4:11" ht="14.1" customHeight="1">
      <c r="D87" s="57">
        <f t="shared" si="13"/>
        <v>36</v>
      </c>
      <c r="E87" s="57">
        <f t="shared" si="14"/>
        <v>36</v>
      </c>
      <c r="F87" s="58">
        <f t="shared" si="15"/>
        <v>0</v>
      </c>
      <c r="G87" s="57">
        <f t="shared" si="11"/>
        <v>28.5</v>
      </c>
      <c r="H87" s="9"/>
      <c r="I87" s="55">
        <f t="shared" si="12"/>
        <v>28.5</v>
      </c>
      <c r="J87" s="1">
        <f t="shared" si="9"/>
        <v>28.5</v>
      </c>
      <c r="K87" s="1">
        <f t="shared" si="10"/>
        <v>0</v>
      </c>
    </row>
    <row r="88" spans="4:11" ht="14.1" customHeight="1">
      <c r="D88" s="57">
        <f t="shared" si="13"/>
        <v>37</v>
      </c>
      <c r="E88" s="57">
        <f t="shared" si="14"/>
        <v>37</v>
      </c>
      <c r="F88" s="58">
        <f t="shared" si="15"/>
        <v>0</v>
      </c>
      <c r="G88" s="57">
        <f t="shared" si="11"/>
        <v>28</v>
      </c>
      <c r="H88" s="9"/>
      <c r="I88" s="55">
        <f t="shared" si="12"/>
        <v>28</v>
      </c>
      <c r="J88" s="1">
        <f t="shared" si="9"/>
        <v>28</v>
      </c>
      <c r="K88" s="1">
        <f t="shared" si="10"/>
        <v>0</v>
      </c>
    </row>
    <row r="89" spans="4:11" ht="14.1" customHeight="1">
      <c r="D89" s="57">
        <f t="shared" si="13"/>
        <v>38</v>
      </c>
      <c r="E89" s="57">
        <f t="shared" si="14"/>
        <v>38</v>
      </c>
      <c r="F89" s="58">
        <f t="shared" si="15"/>
        <v>0</v>
      </c>
      <c r="G89" s="57">
        <f t="shared" si="11"/>
        <v>27.5</v>
      </c>
      <c r="H89" s="9"/>
      <c r="I89" s="55">
        <f t="shared" si="12"/>
        <v>27.5</v>
      </c>
      <c r="J89" s="1">
        <f t="shared" si="9"/>
        <v>27.5</v>
      </c>
      <c r="K89" s="1">
        <f t="shared" si="10"/>
        <v>0</v>
      </c>
    </row>
    <row r="90" spans="4:11" ht="14.1" customHeight="1">
      <c r="D90" s="57">
        <f t="shared" si="13"/>
        <v>39</v>
      </c>
      <c r="E90" s="57">
        <f t="shared" si="14"/>
        <v>39</v>
      </c>
      <c r="F90" s="58">
        <f t="shared" si="15"/>
        <v>0</v>
      </c>
      <c r="G90" s="57">
        <f t="shared" si="11"/>
        <v>27</v>
      </c>
      <c r="H90" s="9"/>
      <c r="I90" s="55">
        <f t="shared" si="12"/>
        <v>27</v>
      </c>
      <c r="J90" s="1">
        <f t="shared" si="9"/>
        <v>27</v>
      </c>
      <c r="K90" s="1">
        <f t="shared" si="10"/>
        <v>0</v>
      </c>
    </row>
    <row r="91" spans="4:11" ht="14.1" customHeight="1">
      <c r="D91" s="57">
        <f t="shared" si="13"/>
        <v>40</v>
      </c>
      <c r="E91" s="57">
        <f t="shared" si="14"/>
        <v>40</v>
      </c>
      <c r="F91" s="58">
        <f t="shared" si="15"/>
        <v>0</v>
      </c>
      <c r="G91" s="57">
        <f t="shared" si="11"/>
        <v>26.5</v>
      </c>
      <c r="H91" s="9"/>
      <c r="I91" s="55">
        <f t="shared" si="12"/>
        <v>26.5</v>
      </c>
      <c r="J91" s="1">
        <f t="shared" si="9"/>
        <v>26.5</v>
      </c>
      <c r="K91" s="1">
        <f t="shared" si="10"/>
        <v>0</v>
      </c>
    </row>
    <row r="92" spans="4:11" ht="14.1" customHeight="1">
      <c r="D92" s="57">
        <f t="shared" si="13"/>
        <v>41</v>
      </c>
      <c r="E92" s="57">
        <f t="shared" si="14"/>
        <v>41</v>
      </c>
      <c r="F92" s="58">
        <f t="shared" si="15"/>
        <v>0</v>
      </c>
      <c r="G92" s="57">
        <f t="shared" si="11"/>
        <v>26</v>
      </c>
      <c r="H92" s="9"/>
      <c r="I92" s="55">
        <f t="shared" si="12"/>
        <v>26</v>
      </c>
      <c r="J92" s="1">
        <f t="shared" si="9"/>
        <v>26</v>
      </c>
      <c r="K92" s="1">
        <f t="shared" si="10"/>
        <v>0</v>
      </c>
    </row>
    <row r="93" spans="4:11" ht="14.1" customHeight="1">
      <c r="D93" s="57">
        <f>D92+1</f>
        <v>42</v>
      </c>
      <c r="E93" s="57">
        <f>E92+1</f>
        <v>42</v>
      </c>
      <c r="F93" s="58">
        <f t="shared" si="15"/>
        <v>0</v>
      </c>
      <c r="G93" s="57">
        <f t="shared" si="11"/>
        <v>25.5</v>
      </c>
      <c r="H93" s="9"/>
      <c r="I93" s="55">
        <f t="shared" si="12"/>
        <v>25.5</v>
      </c>
      <c r="J93" s="1">
        <f t="shared" si="9"/>
        <v>25.5</v>
      </c>
      <c r="K93" s="1">
        <f t="shared" si="10"/>
        <v>0</v>
      </c>
    </row>
    <row r="94" spans="4:11" ht="14.1" customHeight="1">
      <c r="D94" s="21" t="s">
        <v>65</v>
      </c>
      <c r="E94" s="21">
        <v>43</v>
      </c>
      <c r="F94" s="36">
        <f>IF($C$52&gt;42.99999,G94,IF($C$52&gt;-99999,0))</f>
        <v>0</v>
      </c>
      <c r="G94" s="21">
        <v>25</v>
      </c>
      <c r="I94" s="56">
        <v>25</v>
      </c>
      <c r="K94" s="1">
        <f t="shared" si="10"/>
        <v>99</v>
      </c>
    </row>
    <row r="95" spans="4:11" ht="14.1" customHeight="1">
      <c r="D95" s="7"/>
      <c r="F95" s="37"/>
      <c r="G95" s="7"/>
      <c r="I95" s="56"/>
    </row>
    <row r="96" spans="4:11" ht="14.1" customHeight="1">
      <c r="D96" s="7"/>
      <c r="F96" s="37"/>
      <c r="G96" s="7"/>
      <c r="I96" s="56"/>
    </row>
    <row r="97" spans="2:7" ht="14.1" customHeight="1">
      <c r="D97" s="7"/>
      <c r="F97" s="37">
        <f>SUM(F52:F94)</f>
        <v>100</v>
      </c>
      <c r="G97" s="7"/>
    </row>
    <row r="98" spans="2:7" ht="14.1" customHeight="1">
      <c r="D98" s="7"/>
      <c r="F98" s="8"/>
      <c r="G98" s="7"/>
    </row>
    <row r="99" spans="2:7" ht="14.1" customHeight="1">
      <c r="D99" s="7"/>
      <c r="F99" s="8"/>
      <c r="G99" s="7"/>
    </row>
    <row r="100" spans="2:7" ht="14.1" customHeight="1">
      <c r="D100" s="7"/>
      <c r="F100" s="8"/>
      <c r="G100" s="7"/>
    </row>
    <row r="101" spans="2:7" ht="14.1" customHeight="1">
      <c r="D101" s="7"/>
      <c r="F101" s="8"/>
      <c r="G101" s="7"/>
    </row>
    <row r="102" spans="2:7" ht="14.1" customHeight="1">
      <c r="D102" s="7"/>
      <c r="F102" s="8"/>
      <c r="G102" s="7"/>
    </row>
    <row r="105" spans="2:7" ht="14.1" customHeight="1">
      <c r="C105" s="11" t="s">
        <v>21</v>
      </c>
    </row>
    <row r="106" spans="2:7" ht="14.1" customHeight="1">
      <c r="C106" s="11" t="s">
        <v>22</v>
      </c>
    </row>
    <row r="107" spans="2:7" ht="14.1" customHeight="1">
      <c r="C107" s="11" t="s">
        <v>23</v>
      </c>
    </row>
    <row r="108" spans="2:7" ht="14.1" customHeight="1">
      <c r="C108" s="11"/>
    </row>
    <row r="109" spans="2:7" ht="14.1" customHeight="1">
      <c r="C109" s="11" t="s">
        <v>13</v>
      </c>
      <c r="D109" s="1">
        <f>Input!F31</f>
        <v>0</v>
      </c>
      <c r="E109" s="38" t="s">
        <v>14</v>
      </c>
    </row>
    <row r="110" spans="2:7" ht="14.1" customHeight="1">
      <c r="C110" s="11"/>
      <c r="E110" s="38"/>
    </row>
    <row r="111" spans="2:7" ht="14.1" customHeight="1">
      <c r="B111" s="1">
        <f>IF(D109&gt;12,VLOOKUP(D109,C114:E128,3),0)</f>
        <v>0</v>
      </c>
      <c r="C111" s="11"/>
      <c r="D111" s="13"/>
      <c r="E111" s="38"/>
    </row>
    <row r="112" spans="2:7" ht="14.1" customHeight="1">
      <c r="C112" s="11"/>
      <c r="E112" s="38"/>
    </row>
    <row r="113" spans="3:5" ht="14.1" customHeight="1">
      <c r="C113" s="11"/>
      <c r="E113" s="38"/>
    </row>
    <row r="114" spans="3:5" ht="14.1" customHeight="1">
      <c r="C114" s="11">
        <v>12.000000099999999</v>
      </c>
      <c r="D114" s="1">
        <v>13</v>
      </c>
      <c r="E114" s="39">
        <v>0.05</v>
      </c>
    </row>
    <row r="115" spans="3:5" ht="14.1" customHeight="1">
      <c r="C115" s="11">
        <f t="shared" ref="C115:D128" si="16">C114+1</f>
        <v>13.000000099999999</v>
      </c>
      <c r="D115" s="1">
        <f t="shared" si="16"/>
        <v>14</v>
      </c>
      <c r="E115" s="39">
        <f t="shared" ref="E115:E128" si="17">E114+0.05</f>
        <v>0.1</v>
      </c>
    </row>
    <row r="116" spans="3:5" ht="14.1" customHeight="1">
      <c r="C116" s="11">
        <f t="shared" si="16"/>
        <v>14.000000099999999</v>
      </c>
      <c r="D116" s="1">
        <f t="shared" si="16"/>
        <v>15</v>
      </c>
      <c r="E116" s="39">
        <f t="shared" si="17"/>
        <v>0.15000000000000002</v>
      </c>
    </row>
    <row r="117" spans="3:5" ht="14.1" customHeight="1">
      <c r="C117" s="11">
        <f t="shared" si="16"/>
        <v>15.000000099999999</v>
      </c>
      <c r="D117" s="1">
        <f t="shared" si="16"/>
        <v>16</v>
      </c>
      <c r="E117" s="39">
        <f t="shared" si="17"/>
        <v>0.2</v>
      </c>
    </row>
    <row r="118" spans="3:5" ht="14.1" customHeight="1">
      <c r="C118" s="11">
        <f t="shared" si="16"/>
        <v>16.000000100000001</v>
      </c>
      <c r="D118" s="1">
        <f t="shared" si="16"/>
        <v>17</v>
      </c>
      <c r="E118" s="39">
        <f t="shared" si="17"/>
        <v>0.25</v>
      </c>
    </row>
    <row r="119" spans="3:5" ht="14.1" customHeight="1">
      <c r="C119" s="11">
        <f t="shared" si="16"/>
        <v>17.000000100000001</v>
      </c>
      <c r="D119" s="1">
        <f t="shared" si="16"/>
        <v>18</v>
      </c>
      <c r="E119" s="39">
        <f t="shared" si="17"/>
        <v>0.3</v>
      </c>
    </row>
    <row r="120" spans="3:5" ht="14.1" customHeight="1">
      <c r="C120" s="11">
        <f t="shared" si="16"/>
        <v>18.000000100000001</v>
      </c>
      <c r="D120" s="1">
        <f t="shared" si="16"/>
        <v>19</v>
      </c>
      <c r="E120" s="39">
        <f t="shared" si="17"/>
        <v>0.35</v>
      </c>
    </row>
    <row r="121" spans="3:5" ht="14.1" customHeight="1">
      <c r="C121" s="11">
        <f t="shared" si="16"/>
        <v>19.000000100000001</v>
      </c>
      <c r="D121" s="1">
        <f t="shared" si="16"/>
        <v>20</v>
      </c>
      <c r="E121" s="39">
        <f t="shared" si="17"/>
        <v>0.39999999999999997</v>
      </c>
    </row>
    <row r="122" spans="3:5" ht="14.1" customHeight="1">
      <c r="C122" s="11">
        <f t="shared" si="16"/>
        <v>20.000000100000001</v>
      </c>
      <c r="D122" s="1">
        <f t="shared" si="16"/>
        <v>21</v>
      </c>
      <c r="E122" s="39">
        <f t="shared" si="17"/>
        <v>0.44999999999999996</v>
      </c>
    </row>
    <row r="123" spans="3:5" ht="14.1" customHeight="1">
      <c r="C123" s="11">
        <f t="shared" si="16"/>
        <v>21.000000100000001</v>
      </c>
      <c r="D123" s="1">
        <f t="shared" si="16"/>
        <v>22</v>
      </c>
      <c r="E123" s="39">
        <f t="shared" si="17"/>
        <v>0.49999999999999994</v>
      </c>
    </row>
    <row r="124" spans="3:5" ht="14.1" customHeight="1">
      <c r="C124" s="11">
        <f t="shared" si="16"/>
        <v>22.000000100000001</v>
      </c>
      <c r="D124" s="1">
        <f t="shared" si="16"/>
        <v>23</v>
      </c>
      <c r="E124" s="39">
        <f t="shared" si="17"/>
        <v>0.54999999999999993</v>
      </c>
    </row>
    <row r="125" spans="3:5" ht="14.1" customHeight="1">
      <c r="C125" s="11">
        <f t="shared" si="16"/>
        <v>23.000000100000001</v>
      </c>
      <c r="D125" s="1">
        <f t="shared" si="16"/>
        <v>24</v>
      </c>
      <c r="E125" s="39">
        <f t="shared" si="17"/>
        <v>0.6</v>
      </c>
    </row>
    <row r="126" spans="3:5" ht="14.1" customHeight="1">
      <c r="C126" s="11">
        <f t="shared" si="16"/>
        <v>24.000000100000001</v>
      </c>
      <c r="D126" s="1">
        <f t="shared" si="16"/>
        <v>25</v>
      </c>
      <c r="E126" s="39">
        <f t="shared" si="17"/>
        <v>0.65</v>
      </c>
    </row>
    <row r="127" spans="3:5" ht="14.1" customHeight="1">
      <c r="C127" s="11">
        <f t="shared" si="16"/>
        <v>25.000000100000001</v>
      </c>
      <c r="D127" s="1">
        <f t="shared" si="16"/>
        <v>26</v>
      </c>
      <c r="E127" s="39">
        <f t="shared" si="17"/>
        <v>0.70000000000000007</v>
      </c>
    </row>
    <row r="128" spans="3:5" ht="14.1" customHeight="1">
      <c r="C128" s="11">
        <f t="shared" si="16"/>
        <v>26.000000100000001</v>
      </c>
      <c r="D128" s="1">
        <f t="shared" si="16"/>
        <v>27</v>
      </c>
      <c r="E128" s="39">
        <f t="shared" si="17"/>
        <v>0.75000000000000011</v>
      </c>
    </row>
    <row r="129" spans="3:10" ht="14.1" customHeight="1">
      <c r="C129" s="11"/>
    </row>
    <row r="134" spans="3:10" ht="14.1" customHeight="1">
      <c r="H134" s="6">
        <f>Input!J9</f>
        <v>1</v>
      </c>
    </row>
    <row r="135" spans="3:10" ht="14.1" customHeight="1">
      <c r="C135" s="1" t="s">
        <v>62</v>
      </c>
    </row>
    <row r="136" spans="3:10" ht="14.1" customHeight="1">
      <c r="D136" s="38" t="s">
        <v>89</v>
      </c>
      <c r="E136" s="38"/>
    </row>
    <row r="137" spans="3:10" ht="14.1" customHeight="1">
      <c r="C137" s="1">
        <v>1</v>
      </c>
      <c r="D137" s="41">
        <f>Calcs!E41</f>
        <v>2280</v>
      </c>
      <c r="E137" s="41"/>
      <c r="H137" s="65">
        <f>IF($H$134=1,D137,D137)</f>
        <v>2280</v>
      </c>
      <c r="I137" s="65"/>
      <c r="J137" s="65"/>
    </row>
    <row r="138" spans="3:10" ht="14.1" customHeight="1">
      <c r="C138" s="1">
        <f>C137+1</f>
        <v>2</v>
      </c>
      <c r="D138" s="41">
        <f>Calcs!E42</f>
        <v>1440</v>
      </c>
      <c r="E138" s="41"/>
      <c r="H138" s="65"/>
      <c r="I138" s="65">
        <f>IF($H$134=1,D138,D138)</f>
        <v>1440</v>
      </c>
      <c r="J138" s="65"/>
    </row>
    <row r="139" spans="3:10" ht="14.1" customHeight="1">
      <c r="C139" s="1">
        <f t="shared" ref="C139:C160" si="18">C138+1</f>
        <v>3</v>
      </c>
      <c r="D139" s="41" t="str">
        <f>Calcs!E43</f>
        <v/>
      </c>
      <c r="E139" s="41"/>
      <c r="H139" s="65" t="str">
        <f>IF($H$134=1,D139," ")</f>
        <v/>
      </c>
      <c r="I139" s="65"/>
      <c r="J139" s="65" t="str">
        <f>IF($H$134=1," ",D139)</f>
        <v xml:space="preserve"> </v>
      </c>
    </row>
    <row r="140" spans="3:10" ht="14.1" customHeight="1">
      <c r="C140" s="1">
        <f t="shared" si="18"/>
        <v>4</v>
      </c>
      <c r="D140" s="41" t="str">
        <f>Calcs!E44</f>
        <v/>
      </c>
      <c r="E140" s="41"/>
      <c r="H140" s="65" t="str">
        <f>IF($H$134=1," ",D140)</f>
        <v xml:space="preserve"> </v>
      </c>
      <c r="I140" s="65" t="str">
        <f>IF($H$134=1,D140," ")</f>
        <v/>
      </c>
      <c r="J140" s="65"/>
    </row>
    <row r="141" spans="3:10" ht="14.1" customHeight="1">
      <c r="C141" s="1">
        <f t="shared" si="18"/>
        <v>5</v>
      </c>
      <c r="D141" s="41" t="str">
        <f>Calcs!E45</f>
        <v/>
      </c>
      <c r="E141" s="41"/>
      <c r="H141" s="65" t="str">
        <f>IF($H$134=1,D141," ")</f>
        <v/>
      </c>
      <c r="I141" s="65" t="str">
        <f>IF($H$134=1," ",D141)</f>
        <v xml:space="preserve"> </v>
      </c>
      <c r="J141" s="65"/>
    </row>
    <row r="142" spans="3:10" ht="14.1" customHeight="1">
      <c r="C142" s="1">
        <f t="shared" si="18"/>
        <v>6</v>
      </c>
      <c r="D142" s="41" t="str">
        <f>Calcs!E46</f>
        <v/>
      </c>
      <c r="E142" s="41"/>
      <c r="H142" s="65"/>
      <c r="I142" s="65" t="str">
        <f>IF($H$134=1,D142," ")</f>
        <v/>
      </c>
      <c r="J142" s="65" t="str">
        <f>IF($H$134=1," ",D142)</f>
        <v xml:space="preserve"> </v>
      </c>
    </row>
    <row r="143" spans="3:10" ht="14.1" customHeight="1">
      <c r="C143" s="1">
        <f t="shared" si="18"/>
        <v>7</v>
      </c>
      <c r="D143" s="41" t="str">
        <f>Calcs!E47</f>
        <v/>
      </c>
      <c r="E143" s="41"/>
      <c r="H143" s="65" t="str">
        <f>IF($H$134=1,D143,D143)</f>
        <v/>
      </c>
      <c r="I143" s="65"/>
      <c r="J143" s="65"/>
    </row>
    <row r="144" spans="3:10" ht="14.1" customHeight="1">
      <c r="C144" s="1">
        <f t="shared" si="18"/>
        <v>8</v>
      </c>
      <c r="D144" s="41" t="str">
        <f>Calcs!E48</f>
        <v/>
      </c>
      <c r="E144" s="41"/>
      <c r="H144" s="65"/>
      <c r="I144" s="65" t="str">
        <f>IF($H$134=1,D144,D144)</f>
        <v/>
      </c>
      <c r="J144" s="65"/>
    </row>
    <row r="145" spans="3:10" ht="14.1" customHeight="1">
      <c r="C145" s="1">
        <f t="shared" si="18"/>
        <v>9</v>
      </c>
      <c r="D145" s="41" t="str">
        <f>Calcs!E49</f>
        <v/>
      </c>
      <c r="E145" s="41"/>
      <c r="H145" s="65" t="str">
        <f>IF($H$134=1,D145," ")</f>
        <v/>
      </c>
      <c r="I145" s="65"/>
      <c r="J145" s="65" t="str">
        <f>IF($H$134=1," ",D145)</f>
        <v xml:space="preserve"> </v>
      </c>
    </row>
    <row r="146" spans="3:10" ht="14.1" customHeight="1">
      <c r="C146" s="1">
        <f t="shared" si="18"/>
        <v>10</v>
      </c>
      <c r="D146" s="41" t="str">
        <f>Calcs!E50</f>
        <v/>
      </c>
      <c r="E146" s="41"/>
      <c r="H146" s="65" t="str">
        <f>IF($H$134=1," ",D146)</f>
        <v xml:space="preserve"> </v>
      </c>
      <c r="I146" s="65" t="str">
        <f>IF($H$134=1,D146," ")</f>
        <v/>
      </c>
      <c r="J146" s="65"/>
    </row>
    <row r="147" spans="3:10" ht="14.1" customHeight="1">
      <c r="C147" s="1">
        <f t="shared" si="18"/>
        <v>11</v>
      </c>
      <c r="D147" s="41" t="str">
        <f>Calcs!E51</f>
        <v/>
      </c>
      <c r="E147" s="41"/>
      <c r="H147" s="65" t="str">
        <f>IF($H$134=1,D147," ")</f>
        <v/>
      </c>
      <c r="I147" s="65" t="str">
        <f>IF($H$134=1," ",D147)</f>
        <v xml:space="preserve"> </v>
      </c>
      <c r="J147" s="65"/>
    </row>
    <row r="148" spans="3:10" ht="14.1" customHeight="1">
      <c r="C148" s="1">
        <f t="shared" si="18"/>
        <v>12</v>
      </c>
      <c r="D148" s="41" t="str">
        <f>Calcs!E52</f>
        <v/>
      </c>
      <c r="E148" s="41"/>
      <c r="H148" s="65"/>
      <c r="I148" s="65" t="str">
        <f>IF($H$134=1,D148," ")</f>
        <v/>
      </c>
      <c r="J148" s="65" t="str">
        <f>IF($H$134=1," ",D148)</f>
        <v xml:space="preserve"> </v>
      </c>
    </row>
    <row r="149" spans="3:10" ht="14.1" customHeight="1">
      <c r="C149" s="1">
        <f t="shared" si="18"/>
        <v>13</v>
      </c>
      <c r="D149" s="41" t="str">
        <f>Calcs!E53</f>
        <v/>
      </c>
      <c r="E149" s="41"/>
      <c r="H149" s="65" t="str">
        <f>IF($H$134=1,D149,D149)</f>
        <v/>
      </c>
      <c r="I149" s="65"/>
      <c r="J149" s="65"/>
    </row>
    <row r="150" spans="3:10" ht="14.1" customHeight="1">
      <c r="C150" s="1">
        <f t="shared" si="18"/>
        <v>14</v>
      </c>
      <c r="D150" s="41" t="str">
        <f>Calcs!E54</f>
        <v/>
      </c>
      <c r="E150" s="41"/>
      <c r="H150" s="65"/>
      <c r="I150" s="65" t="str">
        <f>IF($H$134=1,D150,D150)</f>
        <v/>
      </c>
      <c r="J150" s="65"/>
    </row>
    <row r="151" spans="3:10" ht="14.1" customHeight="1">
      <c r="C151" s="1">
        <f t="shared" si="18"/>
        <v>15</v>
      </c>
      <c r="D151" s="41" t="str">
        <f>Calcs!E55</f>
        <v/>
      </c>
      <c r="E151" s="41"/>
      <c r="H151" s="65" t="str">
        <f>IF($H$134=1,D151," ")</f>
        <v/>
      </c>
      <c r="I151" s="65"/>
      <c r="J151" s="65" t="str">
        <f>IF($H$134=1," ",D151)</f>
        <v xml:space="preserve"> </v>
      </c>
    </row>
    <row r="152" spans="3:10" ht="14.1" customHeight="1">
      <c r="C152" s="1">
        <f t="shared" si="18"/>
        <v>16</v>
      </c>
      <c r="D152" s="41" t="str">
        <f>Calcs!E56</f>
        <v/>
      </c>
      <c r="E152" s="41"/>
      <c r="H152" s="65" t="str">
        <f>IF($H$134=1," ",D152)</f>
        <v xml:space="preserve"> </v>
      </c>
      <c r="I152" s="65" t="str">
        <f>IF($H$134=1,D152," ")</f>
        <v/>
      </c>
      <c r="J152" s="65"/>
    </row>
    <row r="153" spans="3:10" ht="14.1" customHeight="1">
      <c r="C153" s="1">
        <f t="shared" si="18"/>
        <v>17</v>
      </c>
      <c r="D153" s="41" t="str">
        <f>Calcs!E57</f>
        <v/>
      </c>
      <c r="E153" s="41"/>
      <c r="H153" s="65" t="str">
        <f>IF($H$134=1,D153," ")</f>
        <v/>
      </c>
      <c r="I153" s="65" t="str">
        <f>IF($H$134=1," ",D153)</f>
        <v xml:space="preserve"> </v>
      </c>
      <c r="J153" s="65"/>
    </row>
    <row r="154" spans="3:10" ht="14.1" customHeight="1">
      <c r="C154" s="1">
        <f t="shared" si="18"/>
        <v>18</v>
      </c>
      <c r="D154" s="41" t="str">
        <f>Calcs!E58</f>
        <v/>
      </c>
      <c r="E154" s="41"/>
      <c r="H154" s="65"/>
      <c r="I154" s="65" t="str">
        <f>IF($H$134=1,D154," ")</f>
        <v/>
      </c>
      <c r="J154" s="65" t="str">
        <f>IF($H$134=1," ",D154)</f>
        <v xml:space="preserve"> </v>
      </c>
    </row>
    <row r="155" spans="3:10" ht="14.1" customHeight="1">
      <c r="C155" s="1">
        <f t="shared" si="18"/>
        <v>19</v>
      </c>
      <c r="D155" s="41" t="str">
        <f>Calcs!E59</f>
        <v/>
      </c>
      <c r="E155" s="41"/>
      <c r="H155" s="65" t="str">
        <f>IF($H$134=1,D155,D155)</f>
        <v/>
      </c>
      <c r="I155" s="65"/>
      <c r="J155" s="65"/>
    </row>
    <row r="156" spans="3:10" ht="14.1" customHeight="1">
      <c r="C156" s="1">
        <f t="shared" si="18"/>
        <v>20</v>
      </c>
      <c r="D156" s="41" t="str">
        <f>Calcs!E60</f>
        <v/>
      </c>
      <c r="E156" s="41"/>
      <c r="H156" s="65"/>
      <c r="I156" s="65" t="str">
        <f>IF($H$134=1,D156,D156)</f>
        <v/>
      </c>
      <c r="J156" s="65"/>
    </row>
    <row r="157" spans="3:10" ht="14.1" customHeight="1">
      <c r="C157" s="1">
        <f t="shared" si="18"/>
        <v>21</v>
      </c>
      <c r="D157" s="41" t="str">
        <f>Calcs!E61</f>
        <v/>
      </c>
      <c r="E157" s="41"/>
      <c r="H157" s="65" t="str">
        <f>IF($H$134=1,D157," ")</f>
        <v/>
      </c>
      <c r="I157" s="65"/>
      <c r="J157" s="65" t="str">
        <f>IF($H$134=1," ",D157)</f>
        <v xml:space="preserve"> </v>
      </c>
    </row>
    <row r="158" spans="3:10" ht="14.1" customHeight="1">
      <c r="C158" s="1">
        <f t="shared" si="18"/>
        <v>22</v>
      </c>
      <c r="D158" s="41" t="str">
        <f>Calcs!E62</f>
        <v/>
      </c>
      <c r="E158" s="41"/>
      <c r="H158" s="65" t="str">
        <f>IF($H$134=1," ",D158)</f>
        <v xml:space="preserve"> </v>
      </c>
      <c r="I158" s="65" t="str">
        <f>IF($H$134=1,D158," ")</f>
        <v/>
      </c>
      <c r="J158" s="65"/>
    </row>
    <row r="159" spans="3:10" ht="14.1" customHeight="1">
      <c r="C159" s="1">
        <f t="shared" si="18"/>
        <v>23</v>
      </c>
      <c r="D159" s="41" t="str">
        <f>Calcs!E63</f>
        <v/>
      </c>
      <c r="E159" s="41"/>
      <c r="H159" s="65" t="str">
        <f>IF($H$134=1,D159," ")</f>
        <v/>
      </c>
      <c r="I159" s="65" t="str">
        <f>IF($H$134=1," ",D159)</f>
        <v xml:space="preserve"> </v>
      </c>
      <c r="J159" s="65"/>
    </row>
    <row r="160" spans="3:10" ht="14.1" customHeight="1">
      <c r="C160" s="1">
        <f t="shared" si="18"/>
        <v>24</v>
      </c>
      <c r="D160" s="41" t="str">
        <f>Calcs!E64</f>
        <v/>
      </c>
      <c r="E160" s="41"/>
      <c r="H160" s="65"/>
      <c r="I160" s="65" t="str">
        <f>IF($H$134=1,D160," ")</f>
        <v/>
      </c>
      <c r="J160" s="65" t="str">
        <f>IF($H$134=1," ",D160)</f>
        <v xml:space="preserve"> </v>
      </c>
    </row>
    <row r="161" spans="4:10" ht="14.1" customHeight="1">
      <c r="D161" s="42"/>
      <c r="E161" s="42"/>
    </row>
    <row r="162" spans="4:10" ht="14.1" customHeight="1">
      <c r="D162" s="43">
        <f>SUM(D137:D160)</f>
        <v>3720</v>
      </c>
      <c r="E162" s="43">
        <f>SUM(E137:E160)</f>
        <v>0</v>
      </c>
      <c r="H162" s="1">
        <f>SUM(H137:H160)</f>
        <v>2280</v>
      </c>
      <c r="I162" s="1">
        <f>SUM(I137:I160)</f>
        <v>1440</v>
      </c>
      <c r="J162" s="1">
        <f>SUM(J137:J160)</f>
        <v>0</v>
      </c>
    </row>
    <row r="164" spans="4:10" ht="14.1" customHeight="1">
      <c r="E164" s="42"/>
    </row>
    <row r="165" spans="4:10" ht="14.1" customHeight="1">
      <c r="E165" s="42"/>
      <c r="H165" s="1">
        <f>MAX(H162:J162)</f>
        <v>2280</v>
      </c>
    </row>
    <row r="166" spans="4:10" ht="14.1" customHeight="1">
      <c r="E166" s="43">
        <f>MAX(D162:E162)</f>
        <v>3720</v>
      </c>
    </row>
  </sheetData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IA400"/>
  <sheetViews>
    <sheetView showOutlineSymbols="0" topLeftCell="AL50" workbookViewId="0">
      <selection activeCell="AS58" sqref="AS58"/>
    </sheetView>
  </sheetViews>
  <sheetFormatPr defaultColWidth="0" defaultRowHeight="11.25" zeroHeight="1"/>
  <cols>
    <col min="1" max="1" width="10.7109375" style="66" customWidth="1"/>
    <col min="2" max="2" width="16" style="66" customWidth="1"/>
    <col min="3" max="5" width="10.7109375" style="66" customWidth="1"/>
    <col min="6" max="6" width="16" style="66" customWidth="1"/>
    <col min="7" max="25" width="10.7109375" style="66" customWidth="1"/>
    <col min="26" max="26" width="21.85546875" style="66" customWidth="1"/>
    <col min="27" max="43" width="10.7109375" style="66" customWidth="1"/>
    <col min="44" max="44" width="28.5703125" style="66" customWidth="1"/>
    <col min="45" max="45" width="63.140625" style="66" customWidth="1"/>
    <col min="46" max="139" width="10.7109375" style="66" customWidth="1"/>
    <col min="140" max="160" width="0" style="66" hidden="1" customWidth="1"/>
    <col min="161" max="235" width="9.28515625" style="66" hidden="1" customWidth="1"/>
    <col min="236" max="16384" width="0" style="66" hidden="1"/>
  </cols>
  <sheetData>
    <row r="1" spans="1:54">
      <c r="B1" s="66" t="s">
        <v>90</v>
      </c>
      <c r="F1" s="66" t="str">
        <f>Input!E8</f>
        <v>STANDARD</v>
      </c>
    </row>
    <row r="2" spans="1:54" ht="12" customHeight="1">
      <c r="A2" s="66" t="s">
        <v>66</v>
      </c>
      <c r="B2" s="66" t="str">
        <f>IF(I54=1,"",I54)</f>
        <v/>
      </c>
      <c r="C2" s="66" t="str">
        <f>IF(I54=1,""," - ")</f>
        <v/>
      </c>
      <c r="D2" s="66" t="str">
        <f>D33</f>
        <v>1 1/2''</v>
      </c>
      <c r="E2" s="66" t="s">
        <v>66</v>
      </c>
      <c r="F2" s="66" t="str">
        <f>AO25</f>
        <v>EMT</v>
      </c>
      <c r="G2" s="66" t="s">
        <v>91</v>
      </c>
      <c r="H2" s="66">
        <f>H10</f>
        <v>3</v>
      </c>
      <c r="I2" s="66" t="s">
        <v>92</v>
      </c>
      <c r="J2" s="66" t="str">
        <f>G54</f>
        <v>#1/0</v>
      </c>
      <c r="K2" s="66" t="s">
        <v>66</v>
      </c>
      <c r="L2" s="67" t="s">
        <v>66</v>
      </c>
      <c r="M2" s="66">
        <f>I54</f>
        <v>1</v>
      </c>
      <c r="N2" s="66" t="s">
        <v>93</v>
      </c>
      <c r="O2" s="66" t="str">
        <f>IF(M2=1,"CONDUIT","CONDUITS")</f>
        <v>CONDUIT</v>
      </c>
      <c r="P2" s="66" t="str">
        <f>CONCATENATE(L2,M2,N2,O2)</f>
        <v xml:space="preserve"> 1 - CONDUIT</v>
      </c>
    </row>
    <row r="3" spans="1:54" ht="12" customHeight="1">
      <c r="B3" s="66" t="str">
        <f>IF(B2=1,"CONDUIT","CONDUITS")</f>
        <v>CONDUITS</v>
      </c>
      <c r="C3" s="66" t="str">
        <f>CONCATENATE(B2,C2,D2,)</f>
        <v>1 1/2''</v>
      </c>
      <c r="D3" s="66" t="str">
        <f>CONCATENATE(F2)</f>
        <v>EMT</v>
      </c>
      <c r="L3" s="66" t="s">
        <v>66</v>
      </c>
      <c r="M3" s="66" t="str">
        <f>D33</f>
        <v>1 1/2''</v>
      </c>
      <c r="N3" s="66" t="s">
        <v>66</v>
      </c>
      <c r="O3" s="67" t="str">
        <f>AO25</f>
        <v>EMT</v>
      </c>
      <c r="P3" s="66" t="str">
        <f>CONCATENATE(L3,M3,N3,O3)</f>
        <v xml:space="preserve"> 1 1/2'' EMT</v>
      </c>
      <c r="AJ3" s="66" t="s">
        <v>94</v>
      </c>
      <c r="AK3" s="66" t="str">
        <f>Input!E24</f>
        <v>EMT</v>
      </c>
    </row>
    <row r="4" spans="1:54" ht="12" customHeight="1"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R4" s="68"/>
      <c r="Z4" s="69" t="s">
        <v>95</v>
      </c>
      <c r="AB4" s="68"/>
      <c r="AC4" s="68"/>
      <c r="AD4" s="68"/>
      <c r="AE4" s="68"/>
      <c r="AF4" s="68"/>
      <c r="AG4" s="68"/>
      <c r="AH4" s="68"/>
      <c r="AI4" s="68"/>
      <c r="AJ4" s="70" t="s">
        <v>96</v>
      </c>
      <c r="AK4" s="71">
        <f>IF(AK3="GENERAL",1,0)</f>
        <v>0</v>
      </c>
      <c r="AL4" s="68"/>
      <c r="AN4" s="69" t="s">
        <v>97</v>
      </c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</row>
    <row r="5" spans="1:54" ht="12" customHeight="1">
      <c r="F5" s="69" t="s">
        <v>98</v>
      </c>
      <c r="G5" s="69"/>
      <c r="H5" s="68"/>
      <c r="I5" s="68"/>
      <c r="J5" s="68"/>
      <c r="K5" s="68"/>
      <c r="L5" s="68"/>
      <c r="M5" s="68"/>
      <c r="N5" s="68"/>
      <c r="O5" s="68"/>
      <c r="P5" s="68"/>
      <c r="R5" s="68"/>
      <c r="S5" s="66" t="s">
        <v>70</v>
      </c>
      <c r="U5" s="289">
        <f>Input!J4</f>
        <v>240</v>
      </c>
      <c r="AB5" s="68"/>
      <c r="AC5" s="68"/>
      <c r="AD5" s="68"/>
      <c r="AE5" s="68"/>
      <c r="AF5" s="68"/>
      <c r="AG5" s="68"/>
      <c r="AH5" s="68"/>
      <c r="AI5" s="68"/>
      <c r="AJ5" s="70" t="s">
        <v>99</v>
      </c>
      <c r="AK5" s="71">
        <f>IF(AK3="RIGID",2,0)</f>
        <v>0</v>
      </c>
      <c r="AL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</row>
    <row r="6" spans="1:54" ht="12" customHeight="1">
      <c r="D6" s="66" t="s">
        <v>100</v>
      </c>
      <c r="E6" s="66" t="s">
        <v>25</v>
      </c>
      <c r="F6" s="72" t="s">
        <v>101</v>
      </c>
      <c r="G6" s="190" t="str">
        <f>Input!E18</f>
        <v>AL</v>
      </c>
      <c r="H6" s="68"/>
      <c r="I6" s="68"/>
      <c r="J6" s="68"/>
      <c r="K6" s="68"/>
      <c r="L6" s="74" t="s">
        <v>102</v>
      </c>
      <c r="M6" s="68"/>
      <c r="N6" s="68"/>
      <c r="O6" s="68"/>
      <c r="P6" s="68"/>
      <c r="R6" s="68"/>
      <c r="S6" s="66" t="s">
        <v>71</v>
      </c>
      <c r="U6" s="289">
        <f>Input!J5</f>
        <v>120</v>
      </c>
      <c r="Z6" s="72" t="s">
        <v>103</v>
      </c>
      <c r="AA6" s="75">
        <f>G8</f>
        <v>114</v>
      </c>
      <c r="AB6" s="75">
        <f>E11</f>
        <v>0</v>
      </c>
      <c r="AC6" s="68"/>
      <c r="AD6" s="68"/>
      <c r="AE6" s="68"/>
      <c r="AF6" s="68"/>
      <c r="AG6" s="68"/>
      <c r="AH6" s="68"/>
      <c r="AI6" s="68"/>
      <c r="AJ6" s="70" t="s">
        <v>104</v>
      </c>
      <c r="AK6" s="71">
        <f>IF(AK3="EMT",3,0)</f>
        <v>3</v>
      </c>
      <c r="AL6" s="68"/>
      <c r="AN6" s="76" t="s">
        <v>105</v>
      </c>
      <c r="AO6" s="75">
        <f>AK12</f>
        <v>3</v>
      </c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</row>
    <row r="7" spans="1:54" ht="12" customHeight="1">
      <c r="B7" s="66" t="s">
        <v>572</v>
      </c>
      <c r="C7" s="66">
        <f>IF(F1="OPTIONAL",100,60)</f>
        <v>60</v>
      </c>
      <c r="D7" s="66" t="s">
        <v>106</v>
      </c>
      <c r="E7" s="66" t="s">
        <v>4</v>
      </c>
      <c r="F7" s="77" t="s">
        <v>107</v>
      </c>
      <c r="G7" s="189">
        <f>Input!E19</f>
        <v>75</v>
      </c>
      <c r="H7" s="68"/>
      <c r="I7" s="79" t="s">
        <v>108</v>
      </c>
      <c r="J7" s="68"/>
      <c r="K7" s="80">
        <f>MAX(D8:D9)</f>
        <v>0</v>
      </c>
      <c r="L7" s="68">
        <f>I54</f>
        <v>1</v>
      </c>
      <c r="M7" s="81">
        <f>K7/L7</f>
        <v>0</v>
      </c>
      <c r="N7" s="68"/>
      <c r="S7" s="66" t="s">
        <v>77</v>
      </c>
      <c r="U7" s="289">
        <f>Input!J9</f>
        <v>1</v>
      </c>
      <c r="Z7" s="82" t="s">
        <v>109</v>
      </c>
      <c r="AA7" s="83">
        <f>I54</f>
        <v>1</v>
      </c>
      <c r="AC7" s="68"/>
      <c r="AD7" s="68"/>
      <c r="AE7" s="68"/>
      <c r="AF7" s="68"/>
      <c r="AG7" s="68"/>
      <c r="AH7" s="68"/>
      <c r="AI7" s="68"/>
      <c r="AJ7" s="70" t="s">
        <v>110</v>
      </c>
      <c r="AK7" s="71">
        <f>IF(AK3="IMC",4,0)</f>
        <v>0</v>
      </c>
      <c r="AL7" s="68"/>
      <c r="AN7" s="82" t="s">
        <v>111</v>
      </c>
      <c r="AO7" s="83">
        <f>AH84</f>
        <v>0.61450000000000005</v>
      </c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</row>
    <row r="8" spans="1:54" ht="12" customHeight="1">
      <c r="B8" s="66" t="s">
        <v>112</v>
      </c>
      <c r="C8" s="320">
        <f>IF(Input!J3="YES",Calcs!E85+(Calcs!E85*Input!E25/100),Calcs!E85)</f>
        <v>114</v>
      </c>
      <c r="F8" s="77" t="s">
        <v>113</v>
      </c>
      <c r="G8" s="187">
        <f>MAX(C7:C9)</f>
        <v>114</v>
      </c>
      <c r="H8" s="68"/>
      <c r="I8" s="79" t="s">
        <v>88</v>
      </c>
      <c r="J8" s="68"/>
      <c r="K8" s="192">
        <f>E9</f>
        <v>37</v>
      </c>
      <c r="L8" s="68">
        <f>L7</f>
        <v>1</v>
      </c>
      <c r="M8" s="81">
        <f>K8/L8</f>
        <v>37</v>
      </c>
      <c r="N8" s="68"/>
      <c r="AC8" s="68"/>
      <c r="AD8" s="68"/>
      <c r="AE8" s="68"/>
      <c r="AF8" s="68"/>
      <c r="AG8" s="68"/>
      <c r="AH8" s="68"/>
      <c r="AI8" s="68"/>
      <c r="AJ8" s="70" t="s">
        <v>114</v>
      </c>
      <c r="AK8" s="71">
        <f>IF(AK3="PVC-40",5,0)</f>
        <v>0</v>
      </c>
      <c r="AL8" s="68"/>
      <c r="AN8" s="85" t="s">
        <v>115</v>
      </c>
      <c r="AO8" s="86">
        <f>IF(AF84=2,0.31,0.4)</f>
        <v>0.4</v>
      </c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</row>
    <row r="9" spans="1:54" ht="12" customHeight="1">
      <c r="B9" s="66" t="s">
        <v>116</v>
      </c>
      <c r="C9" s="188">
        <f>Input!E20</f>
        <v>0</v>
      </c>
      <c r="D9" s="67"/>
      <c r="E9" s="191">
        <f>Calcs!M47</f>
        <v>37</v>
      </c>
      <c r="F9" s="77" t="s">
        <v>117</v>
      </c>
      <c r="G9" s="84">
        <f>IF(G8&gt;1000,1200,IF(G8&gt;800,1000,G8))</f>
        <v>114</v>
      </c>
      <c r="H9" s="68"/>
      <c r="I9" s="79" t="s">
        <v>118</v>
      </c>
      <c r="J9" s="68"/>
      <c r="K9" s="81">
        <f>ROUND((F54*33.34/100),1)</f>
        <v>41.7</v>
      </c>
      <c r="L9" s="68">
        <f>L8</f>
        <v>1</v>
      </c>
      <c r="M9" s="81">
        <f>K9/L9</f>
        <v>41.7</v>
      </c>
      <c r="N9" s="68"/>
      <c r="AA9" s="68"/>
      <c r="AC9" s="68"/>
      <c r="AD9" s="68"/>
      <c r="AE9" s="68"/>
      <c r="AF9" s="68"/>
      <c r="AG9" s="68"/>
      <c r="AH9" s="68"/>
      <c r="AI9" s="68"/>
      <c r="AJ9" s="70" t="s">
        <v>119</v>
      </c>
      <c r="AK9" s="71">
        <f>IF(AK3="RIGID/PVC",6,0)</f>
        <v>0</v>
      </c>
      <c r="AL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</row>
    <row r="10" spans="1:54" ht="12" customHeight="1">
      <c r="D10" s="66">
        <f>MAX(D8:D9)</f>
        <v>0</v>
      </c>
      <c r="F10" s="77" t="s">
        <v>120</v>
      </c>
      <c r="G10" s="78" t="s">
        <v>280</v>
      </c>
      <c r="H10" s="68">
        <f>IF(Input!J9=1,3,4)</f>
        <v>3</v>
      </c>
      <c r="I10" s="87" t="s">
        <v>121</v>
      </c>
      <c r="J10" s="68"/>
      <c r="K10" s="81">
        <f>MAX(K8:K9)</f>
        <v>41.7</v>
      </c>
      <c r="L10" s="68"/>
      <c r="M10" s="81">
        <f>MAX(M8:M9)</f>
        <v>41.7</v>
      </c>
      <c r="N10" s="68"/>
      <c r="Z10" s="88" t="s">
        <v>122</v>
      </c>
      <c r="AA10" s="88" t="s">
        <v>123</v>
      </c>
      <c r="AC10" s="68"/>
      <c r="AD10" s="68"/>
      <c r="AE10" s="68"/>
      <c r="AF10" s="68"/>
      <c r="AG10" s="68"/>
      <c r="AH10" s="68"/>
      <c r="AI10" s="68"/>
      <c r="AJ10" s="70" t="s">
        <v>124</v>
      </c>
      <c r="AK10" s="71">
        <f>IF(AK3="FLEX",7,0)</f>
        <v>0</v>
      </c>
      <c r="AL10" s="68"/>
      <c r="AN10" s="89" t="s">
        <v>122</v>
      </c>
      <c r="AO10" s="90">
        <f>AO8</f>
        <v>0.4</v>
      </c>
      <c r="AP10" s="88" t="s">
        <v>125</v>
      </c>
      <c r="AQ10" s="88" t="str">
        <f t="shared" ref="AQ10:AQ22" si="0">IF($AO$6=1,AU11,IF($AO$6=2,AV11,IF($AO$6=3,AW11,IF($AO$6=4,AX11,IF($AO$6=5,AY11,IF($AO$6=6,AZ11,IF($AO$6=7,BA11,IF($AO$6=8,BB11))))))))</f>
        <v>EMT</v>
      </c>
      <c r="AR10" s="88" t="s">
        <v>125</v>
      </c>
      <c r="AS10" s="68"/>
      <c r="AT10" s="88"/>
      <c r="AU10" s="88">
        <v>1</v>
      </c>
      <c r="AV10" s="88">
        <v>2</v>
      </c>
      <c r="AW10" s="88">
        <v>3</v>
      </c>
      <c r="AX10" s="88">
        <v>4</v>
      </c>
      <c r="AY10" s="88">
        <v>5</v>
      </c>
      <c r="AZ10" s="88">
        <v>6</v>
      </c>
      <c r="BA10" s="88">
        <v>7</v>
      </c>
      <c r="BB10" s="88">
        <v>8</v>
      </c>
    </row>
    <row r="11" spans="1:54" ht="12" customHeight="1">
      <c r="B11" s="66" t="s">
        <v>126</v>
      </c>
      <c r="C11" s="67"/>
      <c r="F11" s="91" t="s">
        <v>127</v>
      </c>
      <c r="G11" s="83" t="s">
        <v>281</v>
      </c>
      <c r="H11" s="68">
        <f>IF(G11="Y",1,IF(G11="N",0,"ERR"))</f>
        <v>0</v>
      </c>
      <c r="I11" s="68"/>
      <c r="J11" s="68"/>
      <c r="K11" s="68"/>
      <c r="L11" s="68"/>
      <c r="M11" s="68"/>
      <c r="N11" s="68"/>
      <c r="S11" s="66">
        <f>IF(AND(U5=240,U6=120,U7=1),1,0)</f>
        <v>1</v>
      </c>
      <c r="T11" s="66">
        <f>IF(AND(S11=1,S12&lt;S72+0.00000000001),1,0)</f>
        <v>1</v>
      </c>
      <c r="Z11" s="92" t="s">
        <v>128</v>
      </c>
      <c r="AA11" s="92" t="s">
        <v>129</v>
      </c>
      <c r="AC11" s="68"/>
      <c r="AD11" s="68"/>
      <c r="AE11" s="68"/>
      <c r="AF11" s="68"/>
      <c r="AG11" s="68"/>
      <c r="AH11" s="68"/>
      <c r="AI11" s="68"/>
      <c r="AJ11" s="70" t="s">
        <v>130</v>
      </c>
      <c r="AK11" s="71">
        <f>IF(AK3="LT-FLEX",8,0)</f>
        <v>0</v>
      </c>
      <c r="AL11" s="68"/>
      <c r="AN11" s="89" t="s">
        <v>131</v>
      </c>
      <c r="AO11" s="92" t="s">
        <v>132</v>
      </c>
      <c r="AP11" s="92" t="s">
        <v>133</v>
      </c>
      <c r="AQ11" s="92" t="str">
        <f t="shared" si="0"/>
        <v>AREA</v>
      </c>
      <c r="AR11" s="92" t="s">
        <v>133</v>
      </c>
      <c r="AS11" s="68"/>
      <c r="AT11" s="92" t="s">
        <v>133</v>
      </c>
      <c r="AU11" s="92" t="s">
        <v>134</v>
      </c>
      <c r="AV11" s="92" t="s">
        <v>135</v>
      </c>
      <c r="AW11" s="92" t="s">
        <v>136</v>
      </c>
      <c r="AX11" s="92" t="s">
        <v>137</v>
      </c>
      <c r="AY11" s="92" t="s">
        <v>138</v>
      </c>
      <c r="AZ11" s="92" t="s">
        <v>139</v>
      </c>
      <c r="BA11" s="92" t="s">
        <v>140</v>
      </c>
      <c r="BB11" s="92" t="s">
        <v>141</v>
      </c>
    </row>
    <row r="12" spans="1:54" ht="12" customHeight="1">
      <c r="B12" s="66" t="s">
        <v>142</v>
      </c>
      <c r="C12" s="66">
        <f>ROUND(C11/2,0)</f>
        <v>0</v>
      </c>
      <c r="F12" s="93" t="s">
        <v>18</v>
      </c>
      <c r="G12" s="86"/>
      <c r="H12" s="68">
        <f>H10+H11</f>
        <v>3</v>
      </c>
      <c r="I12" s="68"/>
      <c r="J12" s="68"/>
      <c r="K12" s="68"/>
      <c r="L12" s="68"/>
      <c r="M12" s="68"/>
      <c r="N12" s="68"/>
      <c r="S12" s="183">
        <f>G9</f>
        <v>114</v>
      </c>
      <c r="Z12" s="92" t="s">
        <v>4</v>
      </c>
      <c r="AA12" s="92" t="s">
        <v>143</v>
      </c>
      <c r="AC12" s="68"/>
      <c r="AD12" s="68"/>
      <c r="AE12" s="68"/>
      <c r="AF12" s="68"/>
      <c r="AG12" s="68"/>
      <c r="AH12" s="68"/>
      <c r="AI12" s="68"/>
      <c r="AJ12" s="94" t="s">
        <v>144</v>
      </c>
      <c r="AK12" s="95">
        <f>MAX(AK4:AK11)</f>
        <v>3</v>
      </c>
      <c r="AL12" s="68"/>
      <c r="AN12" s="89"/>
      <c r="AO12" s="92"/>
      <c r="AP12" s="92"/>
      <c r="AQ12" s="92" t="str">
        <f t="shared" si="0"/>
        <v>SQ IN</v>
      </c>
      <c r="AR12" s="92"/>
      <c r="AS12" s="68"/>
      <c r="AT12" s="92"/>
      <c r="AU12" s="92" t="s">
        <v>145</v>
      </c>
      <c r="AV12" s="92" t="s">
        <v>145</v>
      </c>
      <c r="AW12" s="92" t="s">
        <v>145</v>
      </c>
      <c r="AX12" s="92" t="s">
        <v>145</v>
      </c>
      <c r="AY12" s="92" t="s">
        <v>145</v>
      </c>
      <c r="AZ12" s="92" t="s">
        <v>145</v>
      </c>
      <c r="BA12" s="92" t="s">
        <v>145</v>
      </c>
      <c r="BB12" s="92" t="s">
        <v>145</v>
      </c>
    </row>
    <row r="13" spans="1:54" ht="12" customHeight="1">
      <c r="B13" s="66" t="s">
        <v>146</v>
      </c>
      <c r="C13" s="96">
        <v>0</v>
      </c>
      <c r="F13" s="93"/>
      <c r="G13" s="86"/>
      <c r="H13" s="68"/>
      <c r="I13" s="68"/>
      <c r="J13" s="68"/>
      <c r="K13" s="68"/>
      <c r="Z13" s="92">
        <v>0</v>
      </c>
      <c r="AA13" s="92">
        <v>60</v>
      </c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N13" s="89">
        <v>0</v>
      </c>
      <c r="AO13" s="97">
        <f t="shared" ref="AO13:AO22" si="1">AQ13*AO$10</f>
        <v>0.1216</v>
      </c>
      <c r="AP13" s="92">
        <v>0.5</v>
      </c>
      <c r="AQ13" s="98">
        <f t="shared" si="0"/>
        <v>0.30399999999999999</v>
      </c>
      <c r="AR13" s="92">
        <v>0.5</v>
      </c>
      <c r="AS13" s="68"/>
      <c r="AT13" s="99"/>
      <c r="AU13" s="99" t="s">
        <v>147</v>
      </c>
      <c r="AV13" s="99" t="s">
        <v>147</v>
      </c>
      <c r="AW13" s="99" t="s">
        <v>147</v>
      </c>
      <c r="AX13" s="99" t="s">
        <v>147</v>
      </c>
      <c r="AY13" s="99" t="s">
        <v>147</v>
      </c>
      <c r="AZ13" s="99" t="s">
        <v>147</v>
      </c>
      <c r="BA13" s="99" t="s">
        <v>147</v>
      </c>
      <c r="BB13" s="99" t="s">
        <v>147</v>
      </c>
    </row>
    <row r="14" spans="1:54" ht="12" customHeight="1">
      <c r="C14" s="68" t="str">
        <f>IF(C11=0,"N",IF(C13&lt;C12,"N","Y"))</f>
        <v>N</v>
      </c>
      <c r="F14" s="79"/>
      <c r="G14" s="79"/>
      <c r="H14" s="68"/>
      <c r="I14" s="68"/>
      <c r="J14" s="68"/>
      <c r="K14" s="68"/>
      <c r="Z14" s="92">
        <f t="shared" ref="Z14:Z34" si="2">AA13+0.00001</f>
        <v>60.000010000000003</v>
      </c>
      <c r="AA14" s="92">
        <v>70</v>
      </c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N14" s="89">
        <f t="shared" ref="AN14:AN22" si="3">AO13+0.0000000001</f>
        <v>0.12160000009999999</v>
      </c>
      <c r="AO14" s="97">
        <f t="shared" si="1"/>
        <v>0.21320000000000003</v>
      </c>
      <c r="AP14" s="92">
        <v>0.75</v>
      </c>
      <c r="AQ14" s="98">
        <f t="shared" si="0"/>
        <v>0.53300000000000003</v>
      </c>
      <c r="AR14" s="92">
        <v>0.75</v>
      </c>
      <c r="AS14" s="68"/>
      <c r="AT14" s="92">
        <v>0.5</v>
      </c>
      <c r="AU14" s="98">
        <v>0.28499999999999998</v>
      </c>
      <c r="AV14" s="98">
        <v>0.314</v>
      </c>
      <c r="AW14" s="98">
        <v>0.30399999999999999</v>
      </c>
      <c r="AX14" s="98">
        <v>0.34200000000000003</v>
      </c>
      <c r="AY14" s="98">
        <v>0.28499999999999998</v>
      </c>
      <c r="AZ14" s="98">
        <v>0.30399999999999999</v>
      </c>
      <c r="BA14" s="98">
        <v>0.317</v>
      </c>
      <c r="BB14" s="98">
        <v>0.314</v>
      </c>
    </row>
    <row r="15" spans="1:54" ht="12" customHeight="1">
      <c r="E15" s="88" t="s">
        <v>298</v>
      </c>
      <c r="F15" s="100" t="s">
        <v>122</v>
      </c>
      <c r="G15" s="79"/>
      <c r="H15" s="68"/>
      <c r="I15" s="100" t="s">
        <v>148</v>
      </c>
      <c r="J15" s="100" t="s">
        <v>149</v>
      </c>
      <c r="K15" s="88" t="s">
        <v>150</v>
      </c>
      <c r="L15" s="88" t="s">
        <v>150</v>
      </c>
      <c r="M15" s="88" t="s">
        <v>150</v>
      </c>
      <c r="N15" s="88" t="s">
        <v>151</v>
      </c>
      <c r="O15" s="88" t="s">
        <v>152</v>
      </c>
      <c r="P15" s="88" t="s">
        <v>153</v>
      </c>
      <c r="Q15" s="88" t="s">
        <v>298</v>
      </c>
      <c r="R15" s="79" t="s">
        <v>154</v>
      </c>
      <c r="Z15" s="92">
        <f t="shared" si="2"/>
        <v>70.000010000000003</v>
      </c>
      <c r="AA15" s="92">
        <v>80</v>
      </c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N15" s="89">
        <f t="shared" si="3"/>
        <v>0.21320000010000004</v>
      </c>
      <c r="AO15" s="97">
        <f t="shared" si="1"/>
        <v>0.34560000000000002</v>
      </c>
      <c r="AP15" s="92">
        <v>1</v>
      </c>
      <c r="AQ15" s="98">
        <f t="shared" si="0"/>
        <v>0.86399999999999999</v>
      </c>
      <c r="AR15" s="92">
        <v>1</v>
      </c>
      <c r="AS15" s="68"/>
      <c r="AT15" s="92">
        <v>0.75</v>
      </c>
      <c r="AU15" s="98">
        <v>0.50800000000000001</v>
      </c>
      <c r="AV15" s="98">
        <v>0.54900000000000004</v>
      </c>
      <c r="AW15" s="98">
        <v>0.53300000000000003</v>
      </c>
      <c r="AX15" s="98">
        <v>0.58599999999999997</v>
      </c>
      <c r="AY15" s="98">
        <v>0.50800000000000001</v>
      </c>
      <c r="AZ15" s="98">
        <v>0.53300000000000003</v>
      </c>
      <c r="BA15" s="98">
        <v>0.53300000000000003</v>
      </c>
      <c r="BB15" s="98">
        <v>0.54100000000000004</v>
      </c>
    </row>
    <row r="16" spans="1:54" ht="12" customHeight="1">
      <c r="E16" s="92"/>
      <c r="F16" s="101" t="s">
        <v>150</v>
      </c>
      <c r="G16" s="79"/>
      <c r="H16" s="68"/>
      <c r="I16" s="101" t="s">
        <v>150</v>
      </c>
      <c r="J16" s="101" t="s">
        <v>150</v>
      </c>
      <c r="K16" s="92" t="s">
        <v>133</v>
      </c>
      <c r="L16" s="92" t="s">
        <v>133</v>
      </c>
      <c r="M16" s="92" t="s">
        <v>155</v>
      </c>
      <c r="N16" s="92" t="s">
        <v>4</v>
      </c>
      <c r="O16" s="92" t="s">
        <v>4</v>
      </c>
      <c r="P16" s="92" t="s">
        <v>4</v>
      </c>
      <c r="Q16" s="92"/>
      <c r="R16" s="310" t="s">
        <v>150</v>
      </c>
      <c r="S16" s="88" t="s">
        <v>151</v>
      </c>
      <c r="T16" s="88" t="s">
        <v>152</v>
      </c>
      <c r="U16" s="88" t="s">
        <v>153</v>
      </c>
      <c r="V16" s="88" t="s">
        <v>151</v>
      </c>
      <c r="W16" s="88" t="s">
        <v>152</v>
      </c>
      <c r="X16" s="88" t="s">
        <v>153</v>
      </c>
      <c r="Z16" s="92">
        <f t="shared" si="2"/>
        <v>80.000010000000003</v>
      </c>
      <c r="AA16" s="92">
        <v>90</v>
      </c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N16" s="89">
        <f t="shared" si="3"/>
        <v>0.34560000010000003</v>
      </c>
      <c r="AO16" s="97">
        <f t="shared" si="1"/>
        <v>0.59840000000000004</v>
      </c>
      <c r="AP16" s="92">
        <v>1.25</v>
      </c>
      <c r="AQ16" s="98">
        <f t="shared" si="0"/>
        <v>1.496</v>
      </c>
      <c r="AR16" s="92">
        <v>1.25</v>
      </c>
      <c r="AS16" s="68"/>
      <c r="AT16" s="92">
        <v>1</v>
      </c>
      <c r="AU16" s="98">
        <v>0.81699999999999995</v>
      </c>
      <c r="AV16" s="98">
        <v>0.88800000000000001</v>
      </c>
      <c r="AW16" s="98">
        <v>0.86399999999999999</v>
      </c>
      <c r="AX16" s="98">
        <v>0.95899999999999996</v>
      </c>
      <c r="AY16" s="98">
        <v>0.83199999999999996</v>
      </c>
      <c r="AZ16" s="98">
        <v>0.86399999999999999</v>
      </c>
      <c r="BA16" s="98">
        <v>0.81699999999999995</v>
      </c>
      <c r="BB16" s="98">
        <v>0.872</v>
      </c>
    </row>
    <row r="17" spans="3:54" ht="12" customHeight="1">
      <c r="E17" s="99"/>
      <c r="F17" s="101" t="s">
        <v>4</v>
      </c>
      <c r="G17" s="79"/>
      <c r="H17" s="68"/>
      <c r="I17" s="311" t="s">
        <v>4</v>
      </c>
      <c r="J17" s="311" t="s">
        <v>4</v>
      </c>
      <c r="K17" s="99" t="s">
        <v>156</v>
      </c>
      <c r="L17" s="99" t="s">
        <v>157</v>
      </c>
      <c r="M17" s="99" t="s">
        <v>77</v>
      </c>
      <c r="N17" s="99" t="str">
        <f t="shared" ref="N17:P31" si="4">IF($G$6="CU",S18,IF($G$6="AL",V18,"ERR"))</f>
        <v>AL</v>
      </c>
      <c r="O17" s="99" t="str">
        <f t="shared" si="4"/>
        <v>AL</v>
      </c>
      <c r="P17" s="99" t="str">
        <f t="shared" si="4"/>
        <v>AL</v>
      </c>
      <c r="Q17" s="99"/>
      <c r="R17" s="312" t="s">
        <v>133</v>
      </c>
      <c r="S17" s="92" t="s">
        <v>4</v>
      </c>
      <c r="T17" s="92" t="s">
        <v>4</v>
      </c>
      <c r="U17" s="92" t="s">
        <v>4</v>
      </c>
      <c r="V17" s="92" t="s">
        <v>4</v>
      </c>
      <c r="W17" s="92" t="s">
        <v>4</v>
      </c>
      <c r="X17" s="92" t="s">
        <v>4</v>
      </c>
      <c r="Z17" s="92">
        <f t="shared" si="2"/>
        <v>90.000010000000003</v>
      </c>
      <c r="AA17" s="92">
        <v>100</v>
      </c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N17" s="89">
        <f t="shared" si="3"/>
        <v>0.59840000010000005</v>
      </c>
      <c r="AO17" s="97">
        <f t="shared" si="1"/>
        <v>0.81440000000000001</v>
      </c>
      <c r="AP17" s="92">
        <v>1.5</v>
      </c>
      <c r="AQ17" s="98">
        <f t="shared" si="0"/>
        <v>2.036</v>
      </c>
      <c r="AR17" s="92">
        <v>1.5</v>
      </c>
      <c r="AS17" s="68"/>
      <c r="AT17" s="92">
        <v>1.25</v>
      </c>
      <c r="AU17" s="98">
        <v>1.2769999999999999</v>
      </c>
      <c r="AV17" s="98">
        <v>1.526</v>
      </c>
      <c r="AW17" s="98">
        <v>1.496</v>
      </c>
      <c r="AX17" s="98">
        <v>1.6459999999999999</v>
      </c>
      <c r="AY17" s="98">
        <v>1.4530000000000001</v>
      </c>
      <c r="AZ17" s="98">
        <v>1.4950000000000001</v>
      </c>
      <c r="BA17" s="98">
        <v>1.2769999999999999</v>
      </c>
      <c r="BB17" s="98">
        <v>1.528</v>
      </c>
    </row>
    <row r="18" spans="3:54" ht="12" customHeight="1">
      <c r="E18" s="110">
        <v>101</v>
      </c>
      <c r="F18" s="92">
        <v>0</v>
      </c>
      <c r="G18" s="79"/>
      <c r="H18" s="68"/>
      <c r="I18" s="92">
        <f t="shared" ref="I18:I49" si="5">IF($H$12=3,J18,IF($H$12=4,J18,IF($H$12=5,(J18*0.8),"ERR")))</f>
        <v>50</v>
      </c>
      <c r="J18" s="92">
        <f t="shared" ref="J18:J31" si="6">IF($G$7=60,N18,IF($G$7=75,O18,IF($G$7=90,P18,"ERR")))</f>
        <v>50</v>
      </c>
      <c r="K18" s="92" t="s">
        <v>158</v>
      </c>
      <c r="L18" s="92">
        <v>5</v>
      </c>
      <c r="M18" s="92">
        <v>1</v>
      </c>
      <c r="N18" s="92">
        <f t="shared" si="4"/>
        <v>40</v>
      </c>
      <c r="O18" s="92">
        <f t="shared" si="4"/>
        <v>50</v>
      </c>
      <c r="P18" s="92">
        <f t="shared" si="4"/>
        <v>60</v>
      </c>
      <c r="Q18" s="92">
        <v>101</v>
      </c>
      <c r="R18" s="312" t="s">
        <v>156</v>
      </c>
      <c r="S18" s="92" t="s">
        <v>159</v>
      </c>
      <c r="T18" s="92" t="s">
        <v>159</v>
      </c>
      <c r="U18" s="92" t="s">
        <v>159</v>
      </c>
      <c r="V18" s="92" t="s">
        <v>160</v>
      </c>
      <c r="W18" s="92" t="s">
        <v>160</v>
      </c>
      <c r="X18" s="92" t="s">
        <v>160</v>
      </c>
      <c r="Z18" s="92">
        <f t="shared" si="2"/>
        <v>100.00001</v>
      </c>
      <c r="AA18" s="92">
        <v>110</v>
      </c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N18" s="89">
        <f t="shared" si="3"/>
        <v>0.81440000010000002</v>
      </c>
      <c r="AO18" s="97">
        <f t="shared" si="1"/>
        <v>1.3424</v>
      </c>
      <c r="AP18" s="92">
        <v>2</v>
      </c>
      <c r="AQ18" s="98">
        <f t="shared" si="0"/>
        <v>3.3559999999999999</v>
      </c>
      <c r="AR18" s="92">
        <v>2</v>
      </c>
      <c r="AS18" s="68"/>
      <c r="AT18" s="92">
        <v>1.5</v>
      </c>
      <c r="AU18" s="98">
        <v>1.857</v>
      </c>
      <c r="AV18" s="98">
        <v>2.0710000000000002</v>
      </c>
      <c r="AW18" s="98">
        <v>2.036</v>
      </c>
      <c r="AX18" s="98">
        <v>2.2229999999999999</v>
      </c>
      <c r="AY18" s="98">
        <v>1.986</v>
      </c>
      <c r="AZ18" s="98">
        <v>2.036</v>
      </c>
      <c r="BA18" s="98">
        <v>1.857</v>
      </c>
      <c r="BB18" s="98">
        <v>1.9790000000000001</v>
      </c>
    </row>
    <row r="19" spans="3:54" ht="12" customHeight="1">
      <c r="E19" s="112">
        <f>E18+1</f>
        <v>102</v>
      </c>
      <c r="F19" s="92">
        <f t="shared" ref="F19:F49" si="7">I18+0.00001</f>
        <v>50.000010000000003</v>
      </c>
      <c r="G19" s="79"/>
      <c r="H19" s="68"/>
      <c r="I19" s="92">
        <f t="shared" si="5"/>
        <v>65</v>
      </c>
      <c r="J19" s="92">
        <f t="shared" si="6"/>
        <v>65</v>
      </c>
      <c r="K19" s="92" t="s">
        <v>161</v>
      </c>
      <c r="L19" s="92">
        <v>6</v>
      </c>
      <c r="M19" s="92">
        <v>1</v>
      </c>
      <c r="N19" s="92">
        <f t="shared" si="4"/>
        <v>55</v>
      </c>
      <c r="O19" s="92">
        <f t="shared" si="4"/>
        <v>65</v>
      </c>
      <c r="P19" s="92">
        <f t="shared" si="4"/>
        <v>75</v>
      </c>
      <c r="Q19" s="92">
        <f>Q18+1</f>
        <v>102</v>
      </c>
      <c r="R19" s="310" t="s">
        <v>158</v>
      </c>
      <c r="S19" s="88">
        <f t="shared" ref="S19:X32" si="8">IF($T$11=1,S59,S39)</f>
        <v>55</v>
      </c>
      <c r="T19" s="88">
        <f t="shared" si="8"/>
        <v>65</v>
      </c>
      <c r="U19" s="88">
        <f t="shared" si="8"/>
        <v>75</v>
      </c>
      <c r="V19" s="88">
        <f t="shared" si="8"/>
        <v>40</v>
      </c>
      <c r="W19" s="88">
        <f t="shared" si="8"/>
        <v>50</v>
      </c>
      <c r="X19" s="88">
        <f t="shared" si="8"/>
        <v>60</v>
      </c>
      <c r="Z19" s="92">
        <f t="shared" si="2"/>
        <v>110.00001</v>
      </c>
      <c r="AA19" s="92">
        <v>125</v>
      </c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N19" s="89">
        <f t="shared" si="3"/>
        <v>1.3424000001</v>
      </c>
      <c r="AO19" s="97">
        <f t="shared" si="1"/>
        <v>2.3431999999999999</v>
      </c>
      <c r="AP19" s="92">
        <v>2.5</v>
      </c>
      <c r="AQ19" s="98">
        <f t="shared" si="0"/>
        <v>5.8579999999999997</v>
      </c>
      <c r="AR19" s="92">
        <v>2.5</v>
      </c>
      <c r="AS19" s="68"/>
      <c r="AT19" s="92">
        <v>2</v>
      </c>
      <c r="AU19" s="98">
        <v>3.2450000000000001</v>
      </c>
      <c r="AV19" s="98">
        <v>3.4079999999999999</v>
      </c>
      <c r="AW19" s="98">
        <v>3.3559999999999999</v>
      </c>
      <c r="AX19" s="98">
        <v>3.629</v>
      </c>
      <c r="AY19" s="98">
        <v>3.2909999999999999</v>
      </c>
      <c r="AZ19" s="98">
        <v>3.355</v>
      </c>
      <c r="BA19" s="98">
        <v>3.2690000000000001</v>
      </c>
      <c r="BB19" s="98">
        <v>3.2450000000000001</v>
      </c>
    </row>
    <row r="20" spans="3:54" ht="12" customHeight="1">
      <c r="E20" s="112">
        <f t="shared" ref="E20:E49" si="9">E19+1</f>
        <v>103</v>
      </c>
      <c r="F20" s="92">
        <f t="shared" si="7"/>
        <v>65.000010000000003</v>
      </c>
      <c r="G20" s="79"/>
      <c r="H20" s="68"/>
      <c r="I20" s="92">
        <f t="shared" si="5"/>
        <v>75</v>
      </c>
      <c r="J20" s="92">
        <f t="shared" si="6"/>
        <v>75</v>
      </c>
      <c r="K20" s="92" t="str">
        <f>IF(G6="AL",K19,"#3")</f>
        <v>#4</v>
      </c>
      <c r="L20" s="92">
        <f>IF(G6="AL",L19,7)</f>
        <v>6</v>
      </c>
      <c r="M20" s="92">
        <f>IF(G6="AL",M19,1)</f>
        <v>1</v>
      </c>
      <c r="N20" s="92">
        <f t="shared" si="4"/>
        <v>65</v>
      </c>
      <c r="O20" s="92">
        <f t="shared" si="4"/>
        <v>75</v>
      </c>
      <c r="P20" s="92">
        <f t="shared" si="4"/>
        <v>85</v>
      </c>
      <c r="Q20" s="92">
        <f t="shared" ref="Q20:Q49" si="10">Q19+1</f>
        <v>103</v>
      </c>
      <c r="R20" s="312" t="s">
        <v>161</v>
      </c>
      <c r="S20" s="92">
        <f t="shared" si="8"/>
        <v>100</v>
      </c>
      <c r="T20" s="92">
        <f t="shared" si="8"/>
        <v>100</v>
      </c>
      <c r="U20" s="92">
        <f t="shared" si="8"/>
        <v>100</v>
      </c>
      <c r="V20" s="92">
        <f t="shared" si="8"/>
        <v>55</v>
      </c>
      <c r="W20" s="92">
        <f t="shared" si="8"/>
        <v>65</v>
      </c>
      <c r="X20" s="92">
        <f t="shared" si="8"/>
        <v>75</v>
      </c>
      <c r="Z20" s="92">
        <f t="shared" si="2"/>
        <v>125.00001</v>
      </c>
      <c r="AA20" s="92">
        <v>150</v>
      </c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N20" s="89">
        <f t="shared" si="3"/>
        <v>2.3432000001</v>
      </c>
      <c r="AO20" s="97">
        <f t="shared" si="1"/>
        <v>3.5384000000000002</v>
      </c>
      <c r="AP20" s="92">
        <v>3</v>
      </c>
      <c r="AQ20" s="98">
        <f t="shared" si="0"/>
        <v>8.8460000000000001</v>
      </c>
      <c r="AR20" s="92">
        <v>3</v>
      </c>
      <c r="AS20" s="68"/>
      <c r="AT20" s="92">
        <v>2.5</v>
      </c>
      <c r="AU20" s="98">
        <v>4.6950000000000003</v>
      </c>
      <c r="AV20" s="98">
        <v>4.8659999999999997</v>
      </c>
      <c r="AW20" s="98">
        <v>5.8579999999999997</v>
      </c>
      <c r="AX20" s="98">
        <v>5.1349999999999998</v>
      </c>
      <c r="AY20" s="98">
        <v>4.6950000000000003</v>
      </c>
      <c r="AZ20" s="98">
        <v>4.7880000000000003</v>
      </c>
      <c r="BA20" s="98">
        <v>4.9089999999999998</v>
      </c>
      <c r="BB20" s="98">
        <v>4.8789999999999996</v>
      </c>
    </row>
    <row r="21" spans="3:54" ht="12" customHeight="1">
      <c r="E21" s="112">
        <f t="shared" si="9"/>
        <v>104</v>
      </c>
      <c r="F21" s="92">
        <f t="shared" si="7"/>
        <v>75.000010000000003</v>
      </c>
      <c r="G21" s="79"/>
      <c r="H21" s="68"/>
      <c r="I21" s="92">
        <f t="shared" si="5"/>
        <v>100</v>
      </c>
      <c r="J21" s="92">
        <f t="shared" si="6"/>
        <v>100</v>
      </c>
      <c r="K21" s="92" t="s">
        <v>162</v>
      </c>
      <c r="L21" s="92">
        <v>8</v>
      </c>
      <c r="M21" s="92">
        <v>1</v>
      </c>
      <c r="N21" s="92">
        <f t="shared" si="4"/>
        <v>100</v>
      </c>
      <c r="O21" s="92">
        <f t="shared" si="4"/>
        <v>100</v>
      </c>
      <c r="P21" s="92">
        <f t="shared" si="4"/>
        <v>100</v>
      </c>
      <c r="Q21" s="92">
        <f t="shared" si="10"/>
        <v>104</v>
      </c>
      <c r="R21" s="312" t="s">
        <v>163</v>
      </c>
      <c r="S21" s="92">
        <f t="shared" si="8"/>
        <v>110</v>
      </c>
      <c r="T21" s="92">
        <f t="shared" si="8"/>
        <v>110</v>
      </c>
      <c r="U21" s="92">
        <f t="shared" si="8"/>
        <v>110</v>
      </c>
      <c r="V21" s="92">
        <f t="shared" si="8"/>
        <v>65</v>
      </c>
      <c r="W21" s="92">
        <f t="shared" si="8"/>
        <v>75</v>
      </c>
      <c r="X21" s="92">
        <f t="shared" si="8"/>
        <v>85</v>
      </c>
      <c r="Z21" s="92">
        <f t="shared" si="2"/>
        <v>150.00001</v>
      </c>
      <c r="AA21" s="92">
        <v>175</v>
      </c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N21" s="89">
        <f t="shared" si="3"/>
        <v>3.5384000001000002</v>
      </c>
      <c r="AO21" s="97">
        <f t="shared" si="1"/>
        <v>4.6180000000000003</v>
      </c>
      <c r="AP21" s="92">
        <v>3.5</v>
      </c>
      <c r="AQ21" s="98">
        <f t="shared" si="0"/>
        <v>11.545</v>
      </c>
      <c r="AR21" s="92">
        <v>3.5</v>
      </c>
      <c r="AS21" s="68"/>
      <c r="AT21" s="92">
        <v>3</v>
      </c>
      <c r="AU21" s="98">
        <v>7.069</v>
      </c>
      <c r="AV21" s="98">
        <v>7.4989999999999997</v>
      </c>
      <c r="AW21" s="98">
        <v>8.8460000000000001</v>
      </c>
      <c r="AX21" s="98">
        <v>7.9219999999999997</v>
      </c>
      <c r="AY21" s="98">
        <v>7.2679999999999998</v>
      </c>
      <c r="AZ21" s="98">
        <v>7.3929999999999998</v>
      </c>
      <c r="BA21" s="98">
        <v>7.069</v>
      </c>
      <c r="BB21" s="98">
        <v>7.4749999999999996</v>
      </c>
    </row>
    <row r="22" spans="3:54" ht="12" customHeight="1">
      <c r="E22" s="112">
        <f t="shared" si="9"/>
        <v>105</v>
      </c>
      <c r="F22" s="92">
        <f t="shared" si="7"/>
        <v>100.00001</v>
      </c>
      <c r="G22" s="79"/>
      <c r="H22" s="68"/>
      <c r="I22" s="92">
        <f t="shared" si="5"/>
        <v>110</v>
      </c>
      <c r="J22" s="92">
        <f t="shared" si="6"/>
        <v>110</v>
      </c>
      <c r="K22" s="92" t="s">
        <v>164</v>
      </c>
      <c r="L22" s="92">
        <v>9</v>
      </c>
      <c r="M22" s="92">
        <v>1</v>
      </c>
      <c r="N22" s="92">
        <f t="shared" si="4"/>
        <v>110</v>
      </c>
      <c r="O22" s="92">
        <f t="shared" si="4"/>
        <v>110</v>
      </c>
      <c r="P22" s="92">
        <f t="shared" si="4"/>
        <v>115</v>
      </c>
      <c r="Q22" s="92">
        <f t="shared" si="10"/>
        <v>105</v>
      </c>
      <c r="R22" s="312" t="s">
        <v>162</v>
      </c>
      <c r="S22" s="92">
        <f t="shared" si="8"/>
        <v>125</v>
      </c>
      <c r="T22" s="92">
        <f t="shared" si="8"/>
        <v>125</v>
      </c>
      <c r="U22" s="92">
        <f t="shared" si="8"/>
        <v>130</v>
      </c>
      <c r="V22" s="92">
        <f t="shared" si="8"/>
        <v>100</v>
      </c>
      <c r="W22" s="92">
        <f t="shared" si="8"/>
        <v>100</v>
      </c>
      <c r="X22" s="92">
        <f t="shared" si="8"/>
        <v>100</v>
      </c>
      <c r="Z22" s="92">
        <f t="shared" si="2"/>
        <v>175.00001</v>
      </c>
      <c r="AA22" s="92">
        <v>200</v>
      </c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N22" s="89">
        <f t="shared" si="3"/>
        <v>4.6180000001000003</v>
      </c>
      <c r="AO22" s="102">
        <f t="shared" si="1"/>
        <v>5.9012000000000002</v>
      </c>
      <c r="AP22" s="99">
        <v>4</v>
      </c>
      <c r="AQ22" s="103">
        <f t="shared" si="0"/>
        <v>14.753</v>
      </c>
      <c r="AR22" s="99">
        <v>4</v>
      </c>
      <c r="AS22" s="68"/>
      <c r="AT22" s="92">
        <v>3.5</v>
      </c>
      <c r="AU22" s="98">
        <v>9.6210000000000004</v>
      </c>
      <c r="AV22" s="98">
        <v>10.01</v>
      </c>
      <c r="AW22" s="98">
        <v>11.545</v>
      </c>
      <c r="AX22" s="98">
        <v>10.584</v>
      </c>
      <c r="AY22" s="98">
        <v>9.7370000000000001</v>
      </c>
      <c r="AZ22" s="98">
        <v>9.8659999999999997</v>
      </c>
      <c r="BA22" s="98">
        <v>9.6210000000000004</v>
      </c>
      <c r="BB22" s="98">
        <v>9.7309999999999999</v>
      </c>
    </row>
    <row r="23" spans="3:54" ht="12" customHeight="1">
      <c r="E23" s="112">
        <f t="shared" si="9"/>
        <v>106</v>
      </c>
      <c r="F23" s="92">
        <f t="shared" si="7"/>
        <v>110.00001</v>
      </c>
      <c r="G23" s="79"/>
      <c r="H23" s="68"/>
      <c r="I23" s="92">
        <f t="shared" si="5"/>
        <v>125</v>
      </c>
      <c r="J23" s="92">
        <f t="shared" si="6"/>
        <v>125</v>
      </c>
      <c r="K23" s="92" t="s">
        <v>165</v>
      </c>
      <c r="L23" s="92">
        <v>10</v>
      </c>
      <c r="M23" s="92">
        <v>1</v>
      </c>
      <c r="N23" s="92">
        <f t="shared" si="4"/>
        <v>125</v>
      </c>
      <c r="O23" s="92">
        <f t="shared" si="4"/>
        <v>125</v>
      </c>
      <c r="P23" s="92">
        <f t="shared" si="4"/>
        <v>135</v>
      </c>
      <c r="Q23" s="92">
        <f t="shared" si="10"/>
        <v>106</v>
      </c>
      <c r="R23" s="312" t="s">
        <v>164</v>
      </c>
      <c r="S23" s="92">
        <f t="shared" si="8"/>
        <v>150</v>
      </c>
      <c r="T23" s="92">
        <f t="shared" si="8"/>
        <v>150</v>
      </c>
      <c r="U23" s="92">
        <f t="shared" si="8"/>
        <v>150</v>
      </c>
      <c r="V23" s="92">
        <f t="shared" si="8"/>
        <v>110</v>
      </c>
      <c r="W23" s="92">
        <f t="shared" si="8"/>
        <v>110</v>
      </c>
      <c r="X23" s="92">
        <f t="shared" si="8"/>
        <v>115</v>
      </c>
      <c r="Z23" s="92">
        <f t="shared" si="2"/>
        <v>200.00001</v>
      </c>
      <c r="AA23" s="92">
        <v>225</v>
      </c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N23" s="68"/>
      <c r="AO23" s="68"/>
      <c r="AP23" s="68"/>
      <c r="AQ23" s="68"/>
      <c r="AR23" s="68"/>
      <c r="AS23" s="68"/>
      <c r="AT23" s="99">
        <v>4</v>
      </c>
      <c r="AU23" s="103">
        <v>12.554</v>
      </c>
      <c r="AV23" s="103">
        <v>12.833</v>
      </c>
      <c r="AW23" s="103">
        <v>14.753</v>
      </c>
      <c r="AX23" s="103">
        <v>13.631</v>
      </c>
      <c r="AY23" s="103">
        <v>12.554</v>
      </c>
      <c r="AZ23" s="103">
        <v>12.73</v>
      </c>
      <c r="BA23" s="103">
        <v>12.566000000000001</v>
      </c>
      <c r="BB23" s="103">
        <v>12.692</v>
      </c>
    </row>
    <row r="24" spans="3:54" ht="12" customHeight="1">
      <c r="E24" s="112">
        <f t="shared" si="9"/>
        <v>107</v>
      </c>
      <c r="F24" s="92">
        <f t="shared" si="7"/>
        <v>125.00001</v>
      </c>
      <c r="G24" s="79"/>
      <c r="H24" s="68"/>
      <c r="I24" s="92">
        <f t="shared" si="5"/>
        <v>150</v>
      </c>
      <c r="J24" s="92">
        <f t="shared" si="6"/>
        <v>150</v>
      </c>
      <c r="K24" s="92" t="s">
        <v>166</v>
      </c>
      <c r="L24" s="92">
        <v>11</v>
      </c>
      <c r="M24" s="92">
        <v>1</v>
      </c>
      <c r="N24" s="92">
        <f t="shared" si="4"/>
        <v>150</v>
      </c>
      <c r="O24" s="92">
        <f t="shared" si="4"/>
        <v>150</v>
      </c>
      <c r="P24" s="92">
        <f t="shared" si="4"/>
        <v>150</v>
      </c>
      <c r="Q24" s="92">
        <f t="shared" si="10"/>
        <v>107</v>
      </c>
      <c r="R24" s="312" t="s">
        <v>165</v>
      </c>
      <c r="S24" s="92">
        <f t="shared" si="8"/>
        <v>175</v>
      </c>
      <c r="T24" s="92">
        <f t="shared" si="8"/>
        <v>175</v>
      </c>
      <c r="U24" s="92">
        <f t="shared" si="8"/>
        <v>175</v>
      </c>
      <c r="V24" s="92">
        <f t="shared" si="8"/>
        <v>125</v>
      </c>
      <c r="W24" s="92">
        <f t="shared" si="8"/>
        <v>125</v>
      </c>
      <c r="X24" s="92">
        <f t="shared" si="8"/>
        <v>135</v>
      </c>
      <c r="Z24" s="92">
        <f t="shared" si="2"/>
        <v>225.00001</v>
      </c>
      <c r="AA24" s="92">
        <v>250</v>
      </c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N24" s="104" t="s">
        <v>167</v>
      </c>
      <c r="AO24" s="105">
        <f>IF(AJ84=0,"NOT USED",VLOOKUP(AO7,AN10:AR22,3))</f>
        <v>1.5</v>
      </c>
      <c r="AP24" s="79" t="s">
        <v>168</v>
      </c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</row>
    <row r="25" spans="3:54" ht="12" customHeight="1">
      <c r="E25" s="112">
        <f t="shared" si="9"/>
        <v>108</v>
      </c>
      <c r="F25" s="92">
        <f t="shared" si="7"/>
        <v>150.00001</v>
      </c>
      <c r="G25" s="79"/>
      <c r="H25" s="68"/>
      <c r="I25" s="92">
        <f t="shared" si="5"/>
        <v>175</v>
      </c>
      <c r="J25" s="92">
        <f t="shared" si="6"/>
        <v>175</v>
      </c>
      <c r="K25" s="92" t="s">
        <v>169</v>
      </c>
      <c r="L25" s="92">
        <v>12</v>
      </c>
      <c r="M25" s="92">
        <v>1</v>
      </c>
      <c r="N25" s="92">
        <f t="shared" si="4"/>
        <v>175</v>
      </c>
      <c r="O25" s="92">
        <f t="shared" si="4"/>
        <v>175</v>
      </c>
      <c r="P25" s="92">
        <f t="shared" si="4"/>
        <v>175</v>
      </c>
      <c r="Q25" s="92">
        <f t="shared" si="10"/>
        <v>108</v>
      </c>
      <c r="R25" s="312" t="s">
        <v>166</v>
      </c>
      <c r="S25" s="92">
        <f t="shared" si="8"/>
        <v>200</v>
      </c>
      <c r="T25" s="92">
        <f t="shared" si="8"/>
        <v>200</v>
      </c>
      <c r="U25" s="92">
        <f t="shared" si="8"/>
        <v>200</v>
      </c>
      <c r="V25" s="92">
        <f t="shared" si="8"/>
        <v>150</v>
      </c>
      <c r="W25" s="92">
        <f t="shared" si="8"/>
        <v>150</v>
      </c>
      <c r="X25" s="92">
        <f t="shared" si="8"/>
        <v>150</v>
      </c>
      <c r="Z25" s="92">
        <f t="shared" si="2"/>
        <v>250.00001</v>
      </c>
      <c r="AA25" s="92">
        <v>300</v>
      </c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N25" s="106" t="s">
        <v>105</v>
      </c>
      <c r="AO25" s="107" t="str">
        <f>AQ10</f>
        <v>EMT</v>
      </c>
      <c r="AP25" s="79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</row>
    <row r="26" spans="3:54" ht="12" customHeight="1">
      <c r="E26" s="112">
        <f t="shared" si="9"/>
        <v>109</v>
      </c>
      <c r="F26" s="92">
        <f t="shared" si="7"/>
        <v>175.00001</v>
      </c>
      <c r="G26" s="79"/>
      <c r="H26" s="68"/>
      <c r="I26" s="92">
        <f t="shared" si="5"/>
        <v>200</v>
      </c>
      <c r="J26" s="92">
        <f t="shared" si="6"/>
        <v>200</v>
      </c>
      <c r="K26" s="92" t="s">
        <v>170</v>
      </c>
      <c r="L26" s="92">
        <v>13</v>
      </c>
      <c r="M26" s="92">
        <v>1</v>
      </c>
      <c r="N26" s="92">
        <f t="shared" si="4"/>
        <v>200</v>
      </c>
      <c r="O26" s="92">
        <f t="shared" si="4"/>
        <v>200</v>
      </c>
      <c r="P26" s="92">
        <f t="shared" si="4"/>
        <v>205</v>
      </c>
      <c r="Q26" s="92">
        <f t="shared" si="10"/>
        <v>109</v>
      </c>
      <c r="R26" s="312" t="s">
        <v>169</v>
      </c>
      <c r="S26" s="92">
        <f t="shared" si="8"/>
        <v>225</v>
      </c>
      <c r="T26" s="92">
        <f t="shared" si="8"/>
        <v>225</v>
      </c>
      <c r="U26" s="92">
        <f t="shared" si="8"/>
        <v>225</v>
      </c>
      <c r="V26" s="92">
        <f t="shared" si="8"/>
        <v>175</v>
      </c>
      <c r="W26" s="92">
        <f t="shared" si="8"/>
        <v>175</v>
      </c>
      <c r="X26" s="92">
        <f t="shared" si="8"/>
        <v>175</v>
      </c>
      <c r="Z26" s="92">
        <f t="shared" si="2"/>
        <v>300.00000999999997</v>
      </c>
      <c r="AA26" s="92">
        <v>350</v>
      </c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N26" s="104" t="s">
        <v>167</v>
      </c>
      <c r="AO26" s="105" t="str">
        <f>IF(AJ84&gt;0,"NOT USED",AO45)</f>
        <v>NOT USED</v>
      </c>
      <c r="AP26" s="79" t="s">
        <v>171</v>
      </c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</row>
    <row r="27" spans="3:54" ht="12" customHeight="1">
      <c r="E27" s="112">
        <f t="shared" si="9"/>
        <v>110</v>
      </c>
      <c r="F27" s="92">
        <f t="shared" si="7"/>
        <v>200.00001</v>
      </c>
      <c r="G27" s="79"/>
      <c r="H27" s="68"/>
      <c r="I27" s="92">
        <f t="shared" si="5"/>
        <v>225</v>
      </c>
      <c r="J27" s="92">
        <f t="shared" si="6"/>
        <v>225</v>
      </c>
      <c r="K27" s="92" t="s">
        <v>172</v>
      </c>
      <c r="L27" s="92">
        <v>14</v>
      </c>
      <c r="M27" s="92">
        <v>1</v>
      </c>
      <c r="N27" s="92">
        <f t="shared" si="4"/>
        <v>225</v>
      </c>
      <c r="O27" s="92">
        <f t="shared" si="4"/>
        <v>225</v>
      </c>
      <c r="P27" s="92">
        <f t="shared" si="4"/>
        <v>230</v>
      </c>
      <c r="Q27" s="92">
        <f t="shared" si="10"/>
        <v>110</v>
      </c>
      <c r="R27" s="312" t="s">
        <v>170</v>
      </c>
      <c r="S27" s="92">
        <f t="shared" si="8"/>
        <v>250</v>
      </c>
      <c r="T27" s="92">
        <f t="shared" si="8"/>
        <v>250</v>
      </c>
      <c r="U27" s="92">
        <f t="shared" si="8"/>
        <v>260</v>
      </c>
      <c r="V27" s="92">
        <f t="shared" si="8"/>
        <v>200</v>
      </c>
      <c r="W27" s="92">
        <f t="shared" si="8"/>
        <v>200</v>
      </c>
      <c r="X27" s="92">
        <f t="shared" si="8"/>
        <v>205</v>
      </c>
      <c r="Z27" s="92">
        <f t="shared" si="2"/>
        <v>350.00000999999997</v>
      </c>
      <c r="AA27" s="92">
        <v>400</v>
      </c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N27" s="104" t="s">
        <v>167</v>
      </c>
      <c r="AO27" s="105">
        <f>IF(AJ84&gt;0,AO24,AO26)</f>
        <v>1.5</v>
      </c>
      <c r="AP27" s="79" t="str">
        <f>IF(AJ84&gt;0,"DIFFERENT SIZE WIRES","SAME SIZE WIRES")</f>
        <v>DIFFERENT SIZE WIRES</v>
      </c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</row>
    <row r="28" spans="3:54" ht="12" customHeight="1">
      <c r="E28" s="112">
        <f t="shared" si="9"/>
        <v>111</v>
      </c>
      <c r="F28" s="92">
        <f t="shared" si="7"/>
        <v>225.00001</v>
      </c>
      <c r="G28" s="79"/>
      <c r="H28" s="68"/>
      <c r="I28" s="92">
        <f t="shared" si="5"/>
        <v>250</v>
      </c>
      <c r="J28" s="92">
        <f t="shared" si="6"/>
        <v>250</v>
      </c>
      <c r="K28" s="92" t="s">
        <v>173</v>
      </c>
      <c r="L28" s="92">
        <v>15</v>
      </c>
      <c r="M28" s="92">
        <v>1</v>
      </c>
      <c r="N28" s="92">
        <f t="shared" si="4"/>
        <v>250</v>
      </c>
      <c r="O28" s="92">
        <f t="shared" si="4"/>
        <v>250</v>
      </c>
      <c r="P28" s="92">
        <f t="shared" si="4"/>
        <v>255</v>
      </c>
      <c r="Q28" s="92">
        <f t="shared" si="10"/>
        <v>111</v>
      </c>
      <c r="R28" s="312" t="s">
        <v>172</v>
      </c>
      <c r="S28" s="92">
        <f t="shared" si="8"/>
        <v>300</v>
      </c>
      <c r="T28" s="92">
        <f t="shared" si="8"/>
        <v>300</v>
      </c>
      <c r="U28" s="92">
        <f t="shared" si="8"/>
        <v>300</v>
      </c>
      <c r="V28" s="92">
        <f t="shared" si="8"/>
        <v>225</v>
      </c>
      <c r="W28" s="92">
        <f t="shared" si="8"/>
        <v>225</v>
      </c>
      <c r="X28" s="92">
        <f t="shared" si="8"/>
        <v>230</v>
      </c>
      <c r="Z28" s="92">
        <f t="shared" si="2"/>
        <v>400.00000999999997</v>
      </c>
      <c r="AA28" s="92">
        <v>450</v>
      </c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N28" s="79" t="s">
        <v>174</v>
      </c>
      <c r="AO28" s="68">
        <f>AF84</f>
        <v>4</v>
      </c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</row>
    <row r="29" spans="3:54" ht="12" customHeight="1">
      <c r="E29" s="112">
        <f t="shared" si="9"/>
        <v>112</v>
      </c>
      <c r="F29" s="92">
        <f t="shared" si="7"/>
        <v>250.00001</v>
      </c>
      <c r="G29" s="79"/>
      <c r="H29" s="68"/>
      <c r="I29" s="92">
        <f t="shared" si="5"/>
        <v>300</v>
      </c>
      <c r="J29" s="92">
        <f t="shared" si="6"/>
        <v>300</v>
      </c>
      <c r="K29" s="92" t="s">
        <v>175</v>
      </c>
      <c r="L29" s="92">
        <v>16</v>
      </c>
      <c r="M29" s="92">
        <v>1</v>
      </c>
      <c r="N29" s="92">
        <f t="shared" si="4"/>
        <v>300</v>
      </c>
      <c r="O29" s="92">
        <f t="shared" si="4"/>
        <v>300</v>
      </c>
      <c r="P29" s="92">
        <f t="shared" si="4"/>
        <v>300</v>
      </c>
      <c r="Q29" s="92">
        <f t="shared" si="10"/>
        <v>112</v>
      </c>
      <c r="R29" s="312" t="s">
        <v>173</v>
      </c>
      <c r="S29" s="92">
        <f t="shared" si="8"/>
        <v>300</v>
      </c>
      <c r="T29" s="92">
        <f t="shared" si="8"/>
        <v>300</v>
      </c>
      <c r="U29" s="92">
        <f t="shared" si="8"/>
        <v>320</v>
      </c>
      <c r="V29" s="92">
        <f t="shared" si="8"/>
        <v>250</v>
      </c>
      <c r="W29" s="92">
        <f t="shared" si="8"/>
        <v>250</v>
      </c>
      <c r="X29" s="92">
        <f t="shared" si="8"/>
        <v>255</v>
      </c>
      <c r="Z29" s="92">
        <f t="shared" si="2"/>
        <v>450.00000999999997</v>
      </c>
      <c r="AA29" s="92">
        <v>500</v>
      </c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</row>
    <row r="30" spans="3:54" ht="12" customHeight="1">
      <c r="C30" s="108" t="s">
        <v>167</v>
      </c>
      <c r="D30" s="109">
        <f>AO27</f>
        <v>1.5</v>
      </c>
      <c r="E30" s="112">
        <f t="shared" si="9"/>
        <v>113</v>
      </c>
      <c r="F30" s="92">
        <f t="shared" si="7"/>
        <v>300.00000999999997</v>
      </c>
      <c r="G30" s="79"/>
      <c r="H30" s="68"/>
      <c r="I30" s="92">
        <f t="shared" si="5"/>
        <v>300</v>
      </c>
      <c r="J30" s="92">
        <f t="shared" si="6"/>
        <v>300</v>
      </c>
      <c r="K30" s="92" t="s">
        <v>176</v>
      </c>
      <c r="L30" s="92">
        <v>17</v>
      </c>
      <c r="M30" s="92">
        <v>1</v>
      </c>
      <c r="N30" s="92">
        <f t="shared" si="4"/>
        <v>300</v>
      </c>
      <c r="O30" s="92">
        <f t="shared" si="4"/>
        <v>300</v>
      </c>
      <c r="P30" s="92">
        <f t="shared" si="4"/>
        <v>305</v>
      </c>
      <c r="Q30" s="92">
        <f t="shared" si="10"/>
        <v>113</v>
      </c>
      <c r="R30" s="312" t="s">
        <v>175</v>
      </c>
      <c r="S30" s="92">
        <f t="shared" si="8"/>
        <v>350</v>
      </c>
      <c r="T30" s="92">
        <f t="shared" si="8"/>
        <v>350</v>
      </c>
      <c r="U30" s="92">
        <f t="shared" si="8"/>
        <v>350</v>
      </c>
      <c r="V30" s="92">
        <f t="shared" si="8"/>
        <v>300</v>
      </c>
      <c r="W30" s="92">
        <f t="shared" si="8"/>
        <v>300</v>
      </c>
      <c r="X30" s="92">
        <f t="shared" si="8"/>
        <v>300</v>
      </c>
      <c r="Z30" s="92">
        <f t="shared" si="2"/>
        <v>500.00000999999997</v>
      </c>
      <c r="AA30" s="92">
        <v>600</v>
      </c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N30" s="110"/>
      <c r="AO30" s="110"/>
      <c r="AP30" s="110"/>
      <c r="AQ30" s="110"/>
      <c r="AR30" s="110"/>
      <c r="AS30" s="88"/>
      <c r="AT30" s="111"/>
      <c r="AU30" s="88"/>
      <c r="AV30" s="88" t="str">
        <f>AQ10</f>
        <v>EMT</v>
      </c>
      <c r="AW30" s="88" t="s">
        <v>125</v>
      </c>
      <c r="AX30" s="68"/>
      <c r="AY30" s="68"/>
      <c r="AZ30" s="68"/>
      <c r="BA30" s="68"/>
    </row>
    <row r="31" spans="3:54" ht="12" customHeight="1">
      <c r="C31" s="108"/>
      <c r="D31" s="109" t="str">
        <f>IF(D30=0.5,"1/2''",IF(D30=0.75,"3/4''",IF(D30=1,"1''",IF(D30=1.25,"1 1/4''",IF(D30=1.5,"1 1/2''",IF(D30=2,"2''",0))))))</f>
        <v>1 1/2''</v>
      </c>
      <c r="E31" s="118">
        <f t="shared" si="9"/>
        <v>114</v>
      </c>
      <c r="F31" s="99">
        <f t="shared" si="7"/>
        <v>300.00000999999997</v>
      </c>
      <c r="G31" s="313"/>
      <c r="H31" s="171"/>
      <c r="I31" s="99">
        <f t="shared" si="5"/>
        <v>350</v>
      </c>
      <c r="J31" s="99">
        <f t="shared" si="6"/>
        <v>350</v>
      </c>
      <c r="K31" s="99" t="s">
        <v>177</v>
      </c>
      <c r="L31" s="99">
        <v>18</v>
      </c>
      <c r="M31" s="99">
        <v>1</v>
      </c>
      <c r="N31" s="99">
        <f t="shared" si="4"/>
        <v>350</v>
      </c>
      <c r="O31" s="99">
        <f t="shared" si="4"/>
        <v>350</v>
      </c>
      <c r="P31" s="99">
        <f t="shared" si="4"/>
        <v>350</v>
      </c>
      <c r="Q31" s="99">
        <f t="shared" si="10"/>
        <v>114</v>
      </c>
      <c r="R31" s="312" t="s">
        <v>176</v>
      </c>
      <c r="S31" s="92">
        <f t="shared" si="8"/>
        <v>400</v>
      </c>
      <c r="T31" s="92">
        <f t="shared" si="8"/>
        <v>400</v>
      </c>
      <c r="U31" s="92">
        <f t="shared" si="8"/>
        <v>400</v>
      </c>
      <c r="V31" s="92">
        <f t="shared" si="8"/>
        <v>300</v>
      </c>
      <c r="W31" s="92">
        <f t="shared" si="8"/>
        <v>300</v>
      </c>
      <c r="X31" s="92">
        <f t="shared" si="8"/>
        <v>305</v>
      </c>
      <c r="Z31" s="92">
        <f t="shared" si="2"/>
        <v>600.00000999999997</v>
      </c>
      <c r="AA31" s="92">
        <v>700</v>
      </c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N31" s="112"/>
      <c r="AO31" s="112"/>
      <c r="AP31" s="112"/>
      <c r="AQ31" s="112" t="s">
        <v>178</v>
      </c>
      <c r="AR31" s="112" t="s">
        <v>179</v>
      </c>
      <c r="AS31" s="92" t="s">
        <v>180</v>
      </c>
      <c r="AT31" s="113"/>
      <c r="AU31" s="92"/>
      <c r="AV31" s="92" t="str">
        <f>AQ11</f>
        <v>AREA</v>
      </c>
      <c r="AW31" s="92" t="s">
        <v>133</v>
      </c>
      <c r="AX31" s="68"/>
      <c r="AY31" s="68"/>
      <c r="AZ31" s="68"/>
      <c r="BA31" s="68"/>
    </row>
    <row r="32" spans="3:54" ht="12" customHeight="1">
      <c r="C32" s="108"/>
      <c r="D32" s="109">
        <f>IF(D30=2.5,"2 1/2''",IF(D30=3,"3''",IF(D30=3.5,"3 1/2''",IF(D30=4,"4''",0))))</f>
        <v>0</v>
      </c>
      <c r="E32" s="112">
        <f t="shared" si="9"/>
        <v>115</v>
      </c>
      <c r="F32" s="92">
        <f t="shared" si="7"/>
        <v>350.00000999999997</v>
      </c>
      <c r="G32" s="79"/>
      <c r="H32" s="68"/>
      <c r="I32" s="92">
        <f t="shared" si="5"/>
        <v>400</v>
      </c>
      <c r="J32" s="92">
        <f t="shared" ref="J32:J37" si="11">J26*M32</f>
        <v>400</v>
      </c>
      <c r="K32" s="92" t="s">
        <v>170</v>
      </c>
      <c r="L32" s="92">
        <v>13</v>
      </c>
      <c r="M32" s="92">
        <v>2</v>
      </c>
      <c r="N32" s="92"/>
      <c r="O32" s="92"/>
      <c r="P32" s="92"/>
      <c r="Q32" s="92">
        <f t="shared" si="10"/>
        <v>115</v>
      </c>
      <c r="R32" s="314" t="s">
        <v>177</v>
      </c>
      <c r="S32" s="99">
        <f t="shared" si="8"/>
        <v>400</v>
      </c>
      <c r="T32" s="99">
        <f t="shared" si="8"/>
        <v>400</v>
      </c>
      <c r="U32" s="99">
        <f t="shared" si="8"/>
        <v>430</v>
      </c>
      <c r="V32" s="99">
        <f t="shared" si="8"/>
        <v>350</v>
      </c>
      <c r="W32" s="99">
        <f t="shared" si="8"/>
        <v>350</v>
      </c>
      <c r="X32" s="99">
        <f t="shared" si="8"/>
        <v>350</v>
      </c>
      <c r="Z32" s="92">
        <f t="shared" si="2"/>
        <v>700.00000999999997</v>
      </c>
      <c r="AA32" s="92">
        <v>800</v>
      </c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N32" s="112"/>
      <c r="AO32" s="112"/>
      <c r="AP32" s="112"/>
      <c r="AQ32" s="112"/>
      <c r="AR32" s="112"/>
      <c r="AS32" s="92"/>
      <c r="AT32" s="113"/>
      <c r="AU32" s="92"/>
      <c r="AV32" s="92" t="str">
        <f>AQ12</f>
        <v>SQ IN</v>
      </c>
      <c r="AW32" s="92"/>
      <c r="AX32" s="68"/>
      <c r="AY32" s="68"/>
      <c r="AZ32" s="68"/>
      <c r="BA32" s="68"/>
    </row>
    <row r="33" spans="3:61" ht="12" customHeight="1">
      <c r="C33" s="108"/>
      <c r="D33" s="109" t="str">
        <f>IF(D30&gt;2,D32,D31)</f>
        <v>1 1/2''</v>
      </c>
      <c r="E33" s="112">
        <f t="shared" si="9"/>
        <v>116</v>
      </c>
      <c r="F33" s="92">
        <f t="shared" si="7"/>
        <v>400.00000999999997</v>
      </c>
      <c r="G33" s="92"/>
      <c r="H33" s="92"/>
      <c r="I33" s="92">
        <f t="shared" si="5"/>
        <v>450</v>
      </c>
      <c r="J33" s="92">
        <f t="shared" si="11"/>
        <v>450</v>
      </c>
      <c r="K33" s="92" t="s">
        <v>172</v>
      </c>
      <c r="L33" s="92">
        <v>14</v>
      </c>
      <c r="M33" s="92">
        <v>2</v>
      </c>
      <c r="N33" s="92"/>
      <c r="O33" s="92"/>
      <c r="P33" s="92"/>
      <c r="Q33" s="92">
        <f t="shared" si="10"/>
        <v>116</v>
      </c>
      <c r="R33" s="68"/>
      <c r="S33" s="68"/>
      <c r="T33" s="68"/>
      <c r="Z33" s="92">
        <f t="shared" si="2"/>
        <v>800.00000999999997</v>
      </c>
      <c r="AA33" s="92">
        <v>1000</v>
      </c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N33" s="112">
        <v>1</v>
      </c>
      <c r="AO33" s="112">
        <f>IF(AP33&gt;0,1,0)</f>
        <v>0</v>
      </c>
      <c r="AP33" s="112">
        <f t="shared" ref="AP33:AP42" si="12">IF(AO$28=2,AQ33,IF(AO$28=3,AR33,IF(AO$28=4,AS33,"ERR")))</f>
        <v>0</v>
      </c>
      <c r="AQ33" s="112">
        <f>IF(AT33&gt;1.799999,2,0)</f>
        <v>0</v>
      </c>
      <c r="AR33" s="112">
        <f>IF(AT33&gt;2.799999,3,0)</f>
        <v>0</v>
      </c>
      <c r="AS33" s="92">
        <f>IF(AT33&gt;3.799999,4,0)</f>
        <v>0</v>
      </c>
      <c r="AT33" s="98">
        <f t="shared" ref="AT33:AT42" si="13">AV33/AU33</f>
        <v>0.54700854700854706</v>
      </c>
      <c r="AU33" s="92">
        <f t="shared" ref="AU33:AU42" si="14">$AA$76</f>
        <v>0.2223</v>
      </c>
      <c r="AV33" s="98">
        <f t="shared" ref="AV33:AV42" si="15">AO13</f>
        <v>0.1216</v>
      </c>
      <c r="AW33" s="92">
        <v>0.5</v>
      </c>
      <c r="AX33" s="68"/>
      <c r="AY33" s="68"/>
      <c r="AZ33" s="68"/>
      <c r="BA33" s="68"/>
    </row>
    <row r="34" spans="3:61" ht="12" customHeight="1">
      <c r="E34" s="112">
        <f t="shared" si="9"/>
        <v>117</v>
      </c>
      <c r="F34" s="92">
        <f t="shared" si="7"/>
        <v>450.00000999999997</v>
      </c>
      <c r="G34" s="92"/>
      <c r="H34" s="92"/>
      <c r="I34" s="92">
        <f t="shared" si="5"/>
        <v>500</v>
      </c>
      <c r="J34" s="92">
        <f t="shared" si="11"/>
        <v>500</v>
      </c>
      <c r="K34" s="92" t="s">
        <v>173</v>
      </c>
      <c r="L34" s="92">
        <v>15</v>
      </c>
      <c r="M34" s="92">
        <v>2</v>
      </c>
      <c r="N34" s="92"/>
      <c r="O34" s="92"/>
      <c r="P34" s="92"/>
      <c r="Q34" s="92">
        <f t="shared" si="10"/>
        <v>117</v>
      </c>
      <c r="R34" s="68"/>
      <c r="S34" s="68"/>
      <c r="T34" s="68"/>
      <c r="Z34" s="99">
        <f t="shared" si="2"/>
        <v>1000.00001</v>
      </c>
      <c r="AA34" s="99">
        <v>1200</v>
      </c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N34" s="112">
        <v>2</v>
      </c>
      <c r="AO34" s="112">
        <f>IF(AP34&gt;0,2,0)</f>
        <v>0</v>
      </c>
      <c r="AP34" s="112">
        <f t="shared" si="12"/>
        <v>0</v>
      </c>
      <c r="AQ34" s="112">
        <f>IF(SUM(AQ$33:AQ33)=0,IF(AT34&gt;1.799999,2,0),0)</f>
        <v>0</v>
      </c>
      <c r="AR34" s="112">
        <f>IF(SUM(AR$33:AR33)=0,IF(AT34&gt;2.799999,3,0),0)</f>
        <v>0</v>
      </c>
      <c r="AS34" s="92">
        <f>IF(SUM(AS$33:AS33)=0,IF(AT34&gt;3.799999,4,0),0)</f>
        <v>0</v>
      </c>
      <c r="AT34" s="98">
        <f t="shared" si="13"/>
        <v>0.95906432748538029</v>
      </c>
      <c r="AU34" s="92">
        <f t="shared" si="14"/>
        <v>0.2223</v>
      </c>
      <c r="AV34" s="98">
        <f t="shared" si="15"/>
        <v>0.21320000000000003</v>
      </c>
      <c r="AW34" s="92">
        <v>0.75</v>
      </c>
      <c r="AX34" s="68"/>
      <c r="AY34" s="68"/>
      <c r="AZ34" s="68"/>
      <c r="BA34" s="68"/>
    </row>
    <row r="35" spans="3:61" ht="12" customHeight="1">
      <c r="E35" s="112">
        <f t="shared" si="9"/>
        <v>118</v>
      </c>
      <c r="F35" s="92">
        <f t="shared" si="7"/>
        <v>500.00000999999997</v>
      </c>
      <c r="G35" s="92"/>
      <c r="H35" s="92"/>
      <c r="I35" s="92">
        <f t="shared" si="5"/>
        <v>600</v>
      </c>
      <c r="J35" s="92">
        <f t="shared" si="11"/>
        <v>600</v>
      </c>
      <c r="K35" s="92" t="s">
        <v>175</v>
      </c>
      <c r="L35" s="92">
        <v>16</v>
      </c>
      <c r="M35" s="92">
        <v>2</v>
      </c>
      <c r="N35" s="92"/>
      <c r="O35" s="92"/>
      <c r="P35" s="92"/>
      <c r="Q35" s="92">
        <f t="shared" si="10"/>
        <v>118</v>
      </c>
      <c r="R35" s="79" t="s">
        <v>154</v>
      </c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N35" s="112">
        <v>3</v>
      </c>
      <c r="AO35" s="112">
        <f>IF(AP35&gt;0,3,0)</f>
        <v>0</v>
      </c>
      <c r="AP35" s="112">
        <f t="shared" si="12"/>
        <v>0</v>
      </c>
      <c r="AQ35" s="112">
        <f>IF(SUM(AQ$33:AQ34)=0,IF(AT35&gt;1.799999,2,0),0)</f>
        <v>0</v>
      </c>
      <c r="AR35" s="112">
        <f>IF(SUM(AR$33:AR34)=0,IF(AT35&gt;2.799999,3,0),0)</f>
        <v>0</v>
      </c>
      <c r="AS35" s="92">
        <f>IF(SUM(AS$33:AS34)=0,IF(AT35&gt;3.799999,4,0),0)</f>
        <v>0</v>
      </c>
      <c r="AT35" s="98">
        <f t="shared" si="13"/>
        <v>1.5546558704453441</v>
      </c>
      <c r="AU35" s="92">
        <f t="shared" si="14"/>
        <v>0.2223</v>
      </c>
      <c r="AV35" s="98">
        <f t="shared" si="15"/>
        <v>0.34560000000000002</v>
      </c>
      <c r="AW35" s="92">
        <v>1</v>
      </c>
      <c r="AX35" s="68"/>
      <c r="AY35" s="68"/>
      <c r="AZ35" s="68"/>
      <c r="BA35" s="68"/>
    </row>
    <row r="36" spans="3:61" ht="12" customHeight="1">
      <c r="E36" s="112">
        <f t="shared" si="9"/>
        <v>119</v>
      </c>
      <c r="F36" s="92">
        <f t="shared" si="7"/>
        <v>600.00000999999997</v>
      </c>
      <c r="G36" s="92"/>
      <c r="H36" s="92"/>
      <c r="I36" s="92">
        <f t="shared" si="5"/>
        <v>600</v>
      </c>
      <c r="J36" s="92">
        <f t="shared" si="11"/>
        <v>600</v>
      </c>
      <c r="K36" s="92" t="s">
        <v>176</v>
      </c>
      <c r="L36" s="92">
        <v>17</v>
      </c>
      <c r="M36" s="92">
        <v>2</v>
      </c>
      <c r="N36" s="92"/>
      <c r="O36" s="92"/>
      <c r="P36" s="92"/>
      <c r="Q36" s="92">
        <f t="shared" si="10"/>
        <v>119</v>
      </c>
      <c r="R36" s="310" t="s">
        <v>150</v>
      </c>
      <c r="S36" s="88" t="s">
        <v>151</v>
      </c>
      <c r="T36" s="88" t="s">
        <v>152</v>
      </c>
      <c r="U36" s="88" t="s">
        <v>153</v>
      </c>
      <c r="V36" s="88" t="s">
        <v>151</v>
      </c>
      <c r="W36" s="88" t="s">
        <v>152</v>
      </c>
      <c r="X36" s="88" t="s">
        <v>153</v>
      </c>
      <c r="Z36" s="86"/>
      <c r="AA36" s="86"/>
      <c r="AB36" s="86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N36" s="112">
        <v>4</v>
      </c>
      <c r="AO36" s="112">
        <f>IF(AP36&gt;0,4,0)</f>
        <v>0</v>
      </c>
      <c r="AP36" s="112">
        <f t="shared" si="12"/>
        <v>0</v>
      </c>
      <c r="AQ36" s="112">
        <f>IF(SUM(AQ$33:AQ35)=0,IF(AT36&gt;1.799999,2,0),0)</f>
        <v>2</v>
      </c>
      <c r="AR36" s="112">
        <f>IF(SUM(AR$33:AR35)=0,IF(AT36&gt;2.799999,3,0),0)</f>
        <v>0</v>
      </c>
      <c r="AS36" s="92">
        <f>IF(SUM(AS$33:AS35)=0,IF(AT36&gt;3.799999,4,0),0)</f>
        <v>0</v>
      </c>
      <c r="AT36" s="98">
        <f t="shared" si="13"/>
        <v>2.6918578497525867</v>
      </c>
      <c r="AU36" s="92">
        <f t="shared" si="14"/>
        <v>0.2223</v>
      </c>
      <c r="AV36" s="98">
        <f t="shared" si="15"/>
        <v>0.59840000000000004</v>
      </c>
      <c r="AW36" s="92">
        <v>1.25</v>
      </c>
      <c r="AX36" s="68"/>
      <c r="AY36" s="68"/>
      <c r="AZ36" s="68"/>
      <c r="BA36" s="68"/>
    </row>
    <row r="37" spans="3:61" ht="12" customHeight="1">
      <c r="E37" s="112">
        <f t="shared" si="9"/>
        <v>120</v>
      </c>
      <c r="F37" s="92">
        <f t="shared" si="7"/>
        <v>600.00000999999997</v>
      </c>
      <c r="G37" s="92"/>
      <c r="H37" s="92"/>
      <c r="I37" s="92">
        <f t="shared" si="5"/>
        <v>700</v>
      </c>
      <c r="J37" s="92">
        <f t="shared" si="11"/>
        <v>700</v>
      </c>
      <c r="K37" s="92" t="s">
        <v>177</v>
      </c>
      <c r="L37" s="92">
        <v>18</v>
      </c>
      <c r="M37" s="92">
        <v>2</v>
      </c>
      <c r="N37" s="92"/>
      <c r="O37" s="92"/>
      <c r="P37" s="92"/>
      <c r="Q37" s="92">
        <f t="shared" si="10"/>
        <v>120</v>
      </c>
      <c r="R37" s="312" t="s">
        <v>133</v>
      </c>
      <c r="S37" s="92" t="s">
        <v>4</v>
      </c>
      <c r="T37" s="92" t="s">
        <v>4</v>
      </c>
      <c r="U37" s="92" t="s">
        <v>4</v>
      </c>
      <c r="V37" s="92" t="s">
        <v>4</v>
      </c>
      <c r="W37" s="92" t="s">
        <v>4</v>
      </c>
      <c r="X37" s="92" t="s">
        <v>4</v>
      </c>
      <c r="Z37" s="114" t="s">
        <v>181</v>
      </c>
      <c r="AA37" s="105">
        <f>VLOOKUP(AA6,Z13:AA34,2)</f>
        <v>125</v>
      </c>
      <c r="AB37" s="105" t="e">
        <f>IF(AB6&lt;800.0001,VLOOKUP(AB6,AA13:AB34,2),0)</f>
        <v>#N/A</v>
      </c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N37" s="112">
        <v>5</v>
      </c>
      <c r="AO37" s="112">
        <f>IF(AP37&gt;0,5,0)</f>
        <v>0</v>
      </c>
      <c r="AP37" s="112">
        <f t="shared" si="12"/>
        <v>0</v>
      </c>
      <c r="AQ37" s="112">
        <f>IF(SUM(AQ$33:AQ36)=0,IF(AT37&gt;1.799999,2,0),0)</f>
        <v>0</v>
      </c>
      <c r="AR37" s="112">
        <f>IF(SUM(AR$33:AR36)=0,IF(AT37&gt;2.799999,3,0),0)</f>
        <v>3</v>
      </c>
      <c r="AS37" s="92">
        <f>IF(SUM(AS$33:AS36)=0,IF(AT37&gt;3.799999,4,0),0)</f>
        <v>0</v>
      </c>
      <c r="AT37" s="98">
        <f t="shared" si="13"/>
        <v>3.6635177687809266</v>
      </c>
      <c r="AU37" s="92">
        <f t="shared" si="14"/>
        <v>0.2223</v>
      </c>
      <c r="AV37" s="98">
        <f t="shared" si="15"/>
        <v>0.81440000000000001</v>
      </c>
      <c r="AW37" s="92">
        <v>1.5</v>
      </c>
      <c r="AX37" s="68"/>
      <c r="AY37" s="68"/>
      <c r="AZ37" s="68"/>
      <c r="BA37" s="68"/>
    </row>
    <row r="38" spans="3:61" ht="12" customHeight="1">
      <c r="E38" s="112">
        <f t="shared" si="9"/>
        <v>121</v>
      </c>
      <c r="F38" s="92">
        <f t="shared" si="7"/>
        <v>700.00000999999997</v>
      </c>
      <c r="G38" s="92"/>
      <c r="H38" s="92"/>
      <c r="I38" s="92">
        <f t="shared" si="5"/>
        <v>750</v>
      </c>
      <c r="J38" s="92">
        <f>J28*M38</f>
        <v>750</v>
      </c>
      <c r="K38" s="92" t="s">
        <v>173</v>
      </c>
      <c r="L38" s="92">
        <v>15</v>
      </c>
      <c r="M38" s="92">
        <v>3</v>
      </c>
      <c r="N38" s="92"/>
      <c r="O38" s="92"/>
      <c r="P38" s="92"/>
      <c r="Q38" s="92">
        <f t="shared" si="10"/>
        <v>121</v>
      </c>
      <c r="R38" s="312" t="s">
        <v>156</v>
      </c>
      <c r="S38" s="92" t="s">
        <v>159</v>
      </c>
      <c r="T38" s="92" t="s">
        <v>159</v>
      </c>
      <c r="U38" s="92" t="s">
        <v>159</v>
      </c>
      <c r="V38" s="92" t="s">
        <v>160</v>
      </c>
      <c r="W38" s="92" t="s">
        <v>160</v>
      </c>
      <c r="X38" s="92" t="s">
        <v>160</v>
      </c>
      <c r="Z38" s="115" t="s">
        <v>182</v>
      </c>
      <c r="AA38" s="116"/>
      <c r="AB38" s="116">
        <f>IF(AB6&gt;800,VLOOKUP(AB6,AB13:AB34,1),0)</f>
        <v>0</v>
      </c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N38" s="112">
        <v>6</v>
      </c>
      <c r="AO38" s="112">
        <f>IF(AP38&gt;0,6,0)</f>
        <v>6</v>
      </c>
      <c r="AP38" s="112">
        <f t="shared" si="12"/>
        <v>4</v>
      </c>
      <c r="AQ38" s="112">
        <f>IF(SUM(AQ$33:AQ37)=0,IF(AT38&gt;1.799999,2,0),0)</f>
        <v>0</v>
      </c>
      <c r="AR38" s="112">
        <f>IF(SUM(AR$33:AR37)=0,IF(AT38&gt;2.799999,3,0),0)</f>
        <v>0</v>
      </c>
      <c r="AS38" s="92">
        <f>IF(SUM(AS$33:AS37)=0,IF(AT38&gt;3.799999,4,0),0)</f>
        <v>4</v>
      </c>
      <c r="AT38" s="98">
        <f t="shared" si="13"/>
        <v>6.0386864597390915</v>
      </c>
      <c r="AU38" s="92">
        <f t="shared" si="14"/>
        <v>0.2223</v>
      </c>
      <c r="AV38" s="98">
        <f t="shared" si="15"/>
        <v>1.3424</v>
      </c>
      <c r="AW38" s="92">
        <v>2</v>
      </c>
      <c r="AX38" s="68"/>
      <c r="AY38" s="68"/>
      <c r="AZ38" s="68"/>
      <c r="BA38" s="68"/>
    </row>
    <row r="39" spans="3:61" ht="12" customHeight="1">
      <c r="E39" s="112">
        <f t="shared" si="9"/>
        <v>122</v>
      </c>
      <c r="F39" s="92">
        <f t="shared" si="7"/>
        <v>750.00000999999997</v>
      </c>
      <c r="G39" s="92"/>
      <c r="H39" s="92"/>
      <c r="I39" s="92">
        <f t="shared" si="5"/>
        <v>900</v>
      </c>
      <c r="J39" s="92">
        <f>J29*M39</f>
        <v>900</v>
      </c>
      <c r="K39" s="92" t="s">
        <v>175</v>
      </c>
      <c r="L39" s="92">
        <v>16</v>
      </c>
      <c r="M39" s="92">
        <v>3</v>
      </c>
      <c r="N39" s="92"/>
      <c r="O39" s="92"/>
      <c r="P39" s="92"/>
      <c r="Q39" s="92">
        <f t="shared" si="10"/>
        <v>122</v>
      </c>
      <c r="R39" s="310" t="s">
        <v>158</v>
      </c>
      <c r="S39" s="88">
        <v>55</v>
      </c>
      <c r="T39" s="88">
        <v>65</v>
      </c>
      <c r="U39" s="88">
        <v>75</v>
      </c>
      <c r="V39" s="88">
        <v>40</v>
      </c>
      <c r="W39" s="88">
        <v>50</v>
      </c>
      <c r="X39" s="88">
        <v>60</v>
      </c>
      <c r="Z39" s="117" t="s">
        <v>143</v>
      </c>
      <c r="AA39" s="107">
        <f>AA37+AA38</f>
        <v>125</v>
      </c>
      <c r="AB39" s="86"/>
      <c r="AC39" s="68"/>
      <c r="AD39" s="68" t="str">
        <f>TEXT(AA39,"#,##0")</f>
        <v>125</v>
      </c>
      <c r="AE39" s="68" t="str">
        <f>IF(Input!J9=1,"A-2P","A-3P")</f>
        <v>A-2P</v>
      </c>
      <c r="AF39" s="68"/>
      <c r="AG39" s="195" t="str">
        <f>CONCATENATE(AD39,AE39)</f>
        <v>125A-2P</v>
      </c>
      <c r="AH39" s="68"/>
      <c r="AI39" s="68"/>
      <c r="AJ39" s="68"/>
      <c r="AK39" s="68"/>
      <c r="AL39" s="68"/>
      <c r="AN39" s="112">
        <v>7</v>
      </c>
      <c r="AO39" s="112">
        <f>IF(AP39&gt;0,7,0)</f>
        <v>0</v>
      </c>
      <c r="AP39" s="112">
        <f t="shared" si="12"/>
        <v>0</v>
      </c>
      <c r="AQ39" s="112">
        <f>IF(SUM(AQ$33:AQ38)=0,IF(AT39&gt;1.799999,2,0),0)</f>
        <v>0</v>
      </c>
      <c r="AR39" s="112">
        <f>IF(SUM(AR$33:AR38)=0,IF(AT39&gt;2.799999,3,0),0)</f>
        <v>0</v>
      </c>
      <c r="AS39" s="92">
        <f>IF(SUM(AS$33:AS38)=0,IF(AT39&gt;3.799999,4,0),0)</f>
        <v>0</v>
      </c>
      <c r="AT39" s="98">
        <f t="shared" si="13"/>
        <v>10.540710751237066</v>
      </c>
      <c r="AU39" s="92">
        <f t="shared" si="14"/>
        <v>0.2223</v>
      </c>
      <c r="AV39" s="98">
        <f t="shared" si="15"/>
        <v>2.3431999999999999</v>
      </c>
      <c r="AW39" s="92">
        <v>2.5</v>
      </c>
      <c r="AX39" s="68"/>
      <c r="AY39" s="68"/>
      <c r="AZ39" s="68"/>
      <c r="BA39" s="68"/>
    </row>
    <row r="40" spans="3:61" ht="12" customHeight="1">
      <c r="E40" s="112">
        <f t="shared" si="9"/>
        <v>123</v>
      </c>
      <c r="F40" s="92">
        <f t="shared" si="7"/>
        <v>900.00000999999997</v>
      </c>
      <c r="G40" s="92"/>
      <c r="H40" s="92"/>
      <c r="I40" s="92">
        <f t="shared" si="5"/>
        <v>900</v>
      </c>
      <c r="J40" s="92">
        <f>J30*M40</f>
        <v>900</v>
      </c>
      <c r="K40" s="92" t="s">
        <v>176</v>
      </c>
      <c r="L40" s="92">
        <v>17</v>
      </c>
      <c r="M40" s="92">
        <v>3</v>
      </c>
      <c r="N40" s="92"/>
      <c r="O40" s="92"/>
      <c r="P40" s="92"/>
      <c r="Q40" s="92">
        <f t="shared" si="10"/>
        <v>123</v>
      </c>
      <c r="R40" s="312" t="s">
        <v>161</v>
      </c>
      <c r="S40" s="92">
        <v>70</v>
      </c>
      <c r="T40" s="92">
        <v>85</v>
      </c>
      <c r="U40" s="92">
        <v>95</v>
      </c>
      <c r="V40" s="92">
        <v>55</v>
      </c>
      <c r="W40" s="92">
        <v>65</v>
      </c>
      <c r="X40" s="92">
        <v>75</v>
      </c>
      <c r="Z40" s="68" t="s">
        <v>183</v>
      </c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N40" s="112">
        <v>8</v>
      </c>
      <c r="AO40" s="112">
        <f>IF(AP40&gt;0,8,0)</f>
        <v>0</v>
      </c>
      <c r="AP40" s="112">
        <f t="shared" si="12"/>
        <v>0</v>
      </c>
      <c r="AQ40" s="112">
        <f>IF(SUM(AQ$33:AQ39)=0,IF(AT40&gt;1.799999,2,0),0)</f>
        <v>0</v>
      </c>
      <c r="AR40" s="112">
        <f>IF(SUM(AR$33:AR39)=0,IF(AT40&gt;2.799999,3,0),0)</f>
        <v>0</v>
      </c>
      <c r="AS40" s="92">
        <f>IF(SUM(AS$33:AS39)=0,IF(AT40&gt;3.799999,4,0),0)</f>
        <v>0</v>
      </c>
      <c r="AT40" s="98">
        <f t="shared" si="13"/>
        <v>15.917228969860551</v>
      </c>
      <c r="AU40" s="92">
        <f t="shared" si="14"/>
        <v>0.2223</v>
      </c>
      <c r="AV40" s="98">
        <f t="shared" si="15"/>
        <v>3.5384000000000002</v>
      </c>
      <c r="AW40" s="92">
        <v>3</v>
      </c>
      <c r="AX40" s="68"/>
      <c r="AY40" s="68"/>
      <c r="AZ40" s="68"/>
      <c r="BA40" s="68"/>
    </row>
    <row r="41" spans="3:61" ht="12" customHeight="1">
      <c r="E41" s="112">
        <f t="shared" si="9"/>
        <v>124</v>
      </c>
      <c r="F41" s="92">
        <f t="shared" si="7"/>
        <v>900.00000999999997</v>
      </c>
      <c r="G41" s="92"/>
      <c r="H41" s="92"/>
      <c r="I41" s="92">
        <f t="shared" si="5"/>
        <v>1050</v>
      </c>
      <c r="J41" s="92">
        <f>J31*M41</f>
        <v>1050</v>
      </c>
      <c r="K41" s="92" t="s">
        <v>177</v>
      </c>
      <c r="L41" s="92">
        <v>18</v>
      </c>
      <c r="M41" s="92">
        <v>3</v>
      </c>
      <c r="N41" s="92"/>
      <c r="O41" s="92"/>
      <c r="P41" s="92"/>
      <c r="Q41" s="92">
        <f t="shared" si="10"/>
        <v>124</v>
      </c>
      <c r="R41" s="312" t="s">
        <v>163</v>
      </c>
      <c r="S41" s="92">
        <v>85</v>
      </c>
      <c r="T41" s="92">
        <v>100</v>
      </c>
      <c r="U41" s="92">
        <v>110</v>
      </c>
      <c r="V41" s="92">
        <v>65</v>
      </c>
      <c r="W41" s="92">
        <v>75</v>
      </c>
      <c r="X41" s="92">
        <v>85</v>
      </c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N41" s="112">
        <v>9</v>
      </c>
      <c r="AO41" s="112">
        <f>IF(AP41&gt;0,8,0)</f>
        <v>0</v>
      </c>
      <c r="AP41" s="112">
        <f t="shared" si="12"/>
        <v>0</v>
      </c>
      <c r="AQ41" s="112">
        <f>IF(SUM(AQ$33:AQ40)=0,IF(AT41&gt;1.799999,2,0),0)</f>
        <v>0</v>
      </c>
      <c r="AR41" s="112">
        <f>IF(SUM(AR$33:AR40)=0,IF(AT41&gt;2.799999,3,0),0)</f>
        <v>0</v>
      </c>
      <c r="AS41" s="92">
        <f>IF(SUM(AS$33:AS40)=0,IF(AT41&gt;3.799999,4,0),0)</f>
        <v>0</v>
      </c>
      <c r="AT41" s="98">
        <f t="shared" si="13"/>
        <v>20.773729194781829</v>
      </c>
      <c r="AU41" s="92">
        <f t="shared" si="14"/>
        <v>0.2223</v>
      </c>
      <c r="AV41" s="98">
        <f t="shared" si="15"/>
        <v>4.6180000000000003</v>
      </c>
      <c r="AW41" s="92">
        <v>3.5</v>
      </c>
      <c r="AX41" s="68"/>
      <c r="AY41" s="68"/>
      <c r="AZ41" s="68"/>
      <c r="BA41" s="68"/>
    </row>
    <row r="42" spans="3:61" s="68" customFormat="1" ht="12" customHeight="1">
      <c r="E42" s="112">
        <f t="shared" si="9"/>
        <v>125</v>
      </c>
      <c r="F42" s="92">
        <f t="shared" si="7"/>
        <v>1050.00001</v>
      </c>
      <c r="G42" s="92"/>
      <c r="H42" s="92"/>
      <c r="I42" s="92">
        <f t="shared" si="5"/>
        <v>1200</v>
      </c>
      <c r="J42" s="92">
        <f>J29*M42</f>
        <v>1200</v>
      </c>
      <c r="K42" s="92" t="s">
        <v>175</v>
      </c>
      <c r="L42" s="92">
        <v>16</v>
      </c>
      <c r="M42" s="92">
        <v>4</v>
      </c>
      <c r="N42" s="92"/>
      <c r="O42" s="92"/>
      <c r="P42" s="92"/>
      <c r="Q42" s="92">
        <f t="shared" si="10"/>
        <v>125</v>
      </c>
      <c r="R42" s="312" t="s">
        <v>162</v>
      </c>
      <c r="S42" s="92">
        <v>95</v>
      </c>
      <c r="T42" s="92">
        <v>115</v>
      </c>
      <c r="U42" s="92">
        <v>130</v>
      </c>
      <c r="V42" s="92">
        <v>75</v>
      </c>
      <c r="W42" s="92">
        <v>90</v>
      </c>
      <c r="X42" s="92">
        <v>100</v>
      </c>
      <c r="AM42" s="66"/>
      <c r="AN42" s="118">
        <v>10</v>
      </c>
      <c r="AO42" s="118">
        <f>IF(AP42&gt;0,10,0)</f>
        <v>0</v>
      </c>
      <c r="AP42" s="118">
        <f t="shared" si="12"/>
        <v>0</v>
      </c>
      <c r="AQ42" s="118">
        <f>IF(SUM(AQ$33:AQ41)=0,IF(AT42&gt;1.799999,2,0),0)</f>
        <v>0</v>
      </c>
      <c r="AR42" s="118">
        <f>IF(SUM(AR$33:AR41)=0,IF(AT42&gt;2.799999,3,0),0)</f>
        <v>0</v>
      </c>
      <c r="AS42" s="99">
        <f>IF(SUM(AS$33:AS41)=0,IF(AT42&gt;3.799999,4,0),0)</f>
        <v>0</v>
      </c>
      <c r="AT42" s="103">
        <f t="shared" si="13"/>
        <v>26.546108861898336</v>
      </c>
      <c r="AU42" s="99">
        <f t="shared" si="14"/>
        <v>0.2223</v>
      </c>
      <c r="AV42" s="103">
        <f t="shared" si="15"/>
        <v>5.9012000000000002</v>
      </c>
      <c r="AW42" s="99">
        <v>4</v>
      </c>
      <c r="BB42" s="66"/>
      <c r="BC42" s="66"/>
      <c r="BD42" s="66"/>
      <c r="BE42" s="66"/>
      <c r="BF42" s="66"/>
      <c r="BG42" s="66"/>
      <c r="BH42" s="66"/>
      <c r="BI42" s="66"/>
    </row>
    <row r="43" spans="3:61" s="68" customFormat="1" ht="12" customHeight="1">
      <c r="E43" s="112">
        <f t="shared" si="9"/>
        <v>126</v>
      </c>
      <c r="F43" s="92">
        <f t="shared" si="7"/>
        <v>1200.00001</v>
      </c>
      <c r="G43" s="92"/>
      <c r="H43" s="92"/>
      <c r="I43" s="92">
        <f t="shared" si="5"/>
        <v>1200</v>
      </c>
      <c r="J43" s="92">
        <f>J30*M43</f>
        <v>1200</v>
      </c>
      <c r="K43" s="92" t="s">
        <v>176</v>
      </c>
      <c r="L43" s="92">
        <v>17</v>
      </c>
      <c r="M43" s="92">
        <v>4</v>
      </c>
      <c r="N43" s="92"/>
      <c r="O43" s="92"/>
      <c r="P43" s="92"/>
      <c r="Q43" s="92">
        <f t="shared" si="10"/>
        <v>126</v>
      </c>
      <c r="R43" s="312" t="s">
        <v>164</v>
      </c>
      <c r="S43" s="92">
        <v>110</v>
      </c>
      <c r="T43" s="92">
        <v>130</v>
      </c>
      <c r="U43" s="92">
        <v>150</v>
      </c>
      <c r="V43" s="92">
        <v>85</v>
      </c>
      <c r="W43" s="92">
        <v>100</v>
      </c>
      <c r="X43" s="92">
        <v>115</v>
      </c>
      <c r="Z43" s="69" t="s">
        <v>184</v>
      </c>
      <c r="AM43" s="66"/>
      <c r="BA43" s="66"/>
      <c r="BB43" s="66"/>
      <c r="BC43" s="66"/>
      <c r="BD43" s="66"/>
      <c r="BE43" s="66"/>
      <c r="BF43" s="66"/>
      <c r="BG43" s="66"/>
      <c r="BH43" s="66"/>
    </row>
    <row r="44" spans="3:61" ht="12" customHeight="1">
      <c r="E44" s="112">
        <f t="shared" si="9"/>
        <v>127</v>
      </c>
      <c r="F44" s="92">
        <f t="shared" si="7"/>
        <v>1200.00001</v>
      </c>
      <c r="G44" s="92"/>
      <c r="H44" s="92"/>
      <c r="I44" s="92">
        <f t="shared" si="5"/>
        <v>1400</v>
      </c>
      <c r="J44" s="92">
        <f>J31*M44</f>
        <v>1400</v>
      </c>
      <c r="K44" s="92" t="s">
        <v>177</v>
      </c>
      <c r="L44" s="92">
        <v>18</v>
      </c>
      <c r="M44" s="92">
        <v>4</v>
      </c>
      <c r="N44" s="92"/>
      <c r="O44" s="92"/>
      <c r="P44" s="92"/>
      <c r="Q44" s="92">
        <f t="shared" si="10"/>
        <v>127</v>
      </c>
      <c r="R44" s="312" t="s">
        <v>165</v>
      </c>
      <c r="S44" s="92">
        <v>125</v>
      </c>
      <c r="T44" s="92">
        <v>150</v>
      </c>
      <c r="U44" s="92">
        <v>170</v>
      </c>
      <c r="V44" s="92">
        <v>100</v>
      </c>
      <c r="W44" s="92">
        <v>120</v>
      </c>
      <c r="X44" s="92">
        <v>135</v>
      </c>
      <c r="Z44" s="68"/>
      <c r="AA44" s="68" t="s">
        <v>8</v>
      </c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N44" s="68"/>
      <c r="AO44" s="68">
        <f>SUM(AO33:AO42)</f>
        <v>6</v>
      </c>
      <c r="AP44" s="68"/>
      <c r="AQ44" s="68"/>
      <c r="AR44" s="68"/>
      <c r="AS44" s="68"/>
      <c r="AT44" s="68"/>
      <c r="AU44" s="119" t="s">
        <v>185</v>
      </c>
      <c r="AV44" s="120"/>
      <c r="AW44" s="121"/>
      <c r="AX44" s="121"/>
      <c r="AY44" s="121"/>
      <c r="AZ44" s="121"/>
      <c r="BA44" s="121"/>
      <c r="BB44" s="121"/>
    </row>
    <row r="45" spans="3:61" ht="12" customHeight="1">
      <c r="E45" s="112">
        <f t="shared" si="9"/>
        <v>128</v>
      </c>
      <c r="F45" s="92">
        <f t="shared" si="7"/>
        <v>1400.00001</v>
      </c>
      <c r="G45" s="92"/>
      <c r="H45" s="92"/>
      <c r="I45" s="92">
        <f t="shared" si="5"/>
        <v>1500</v>
      </c>
      <c r="J45" s="92">
        <f>J29*M45</f>
        <v>1500</v>
      </c>
      <c r="K45" s="92" t="s">
        <v>175</v>
      </c>
      <c r="L45" s="92">
        <v>16</v>
      </c>
      <c r="M45" s="92">
        <v>5</v>
      </c>
      <c r="N45" s="92"/>
      <c r="O45" s="92"/>
      <c r="P45" s="92"/>
      <c r="Q45" s="92">
        <f t="shared" si="10"/>
        <v>128</v>
      </c>
      <c r="R45" s="312" t="s">
        <v>166</v>
      </c>
      <c r="S45" s="92">
        <v>145</v>
      </c>
      <c r="T45" s="92">
        <v>175</v>
      </c>
      <c r="U45" s="92">
        <v>195</v>
      </c>
      <c r="V45" s="92">
        <v>115</v>
      </c>
      <c r="W45" s="92">
        <v>135</v>
      </c>
      <c r="X45" s="92">
        <v>150</v>
      </c>
      <c r="Z45" s="72" t="s">
        <v>186</v>
      </c>
      <c r="AA45" s="122">
        <f>H54</f>
        <v>10</v>
      </c>
      <c r="AB45" s="75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N45" s="68"/>
      <c r="AO45" s="68">
        <f>VLOOKUP(AO44,AN33:AW42,10)</f>
        <v>2</v>
      </c>
      <c r="AP45" s="68"/>
      <c r="AQ45" s="68"/>
      <c r="AR45" s="68"/>
      <c r="AS45" s="68"/>
      <c r="AT45" s="68"/>
      <c r="AU45" s="120"/>
      <c r="AV45" s="120"/>
      <c r="AW45" s="120"/>
      <c r="AX45" s="121"/>
      <c r="AY45" s="121"/>
      <c r="AZ45" s="121"/>
      <c r="BA45" s="121"/>
      <c r="BB45" s="121"/>
    </row>
    <row r="46" spans="3:61" ht="12" customHeight="1">
      <c r="E46" s="112">
        <f t="shared" si="9"/>
        <v>129</v>
      </c>
      <c r="F46" s="92">
        <f t="shared" si="7"/>
        <v>1500.00001</v>
      </c>
      <c r="G46" s="92"/>
      <c r="H46" s="92"/>
      <c r="I46" s="92">
        <f t="shared" si="5"/>
        <v>1500</v>
      </c>
      <c r="J46" s="92">
        <f>J30*M46</f>
        <v>1500</v>
      </c>
      <c r="K46" s="92" t="s">
        <v>176</v>
      </c>
      <c r="L46" s="92">
        <v>17</v>
      </c>
      <c r="M46" s="92">
        <v>5</v>
      </c>
      <c r="N46" s="92"/>
      <c r="O46" s="92"/>
      <c r="P46" s="92"/>
      <c r="Q46" s="92">
        <f t="shared" si="10"/>
        <v>129</v>
      </c>
      <c r="R46" s="312" t="s">
        <v>169</v>
      </c>
      <c r="S46" s="92">
        <v>165</v>
      </c>
      <c r="T46" s="92">
        <v>200</v>
      </c>
      <c r="U46" s="92">
        <v>225</v>
      </c>
      <c r="V46" s="92">
        <v>130</v>
      </c>
      <c r="W46" s="92">
        <v>155</v>
      </c>
      <c r="X46" s="92">
        <v>175</v>
      </c>
      <c r="Z46" s="123" t="s">
        <v>187</v>
      </c>
      <c r="AA46" s="193" t="str">
        <f>Input!E23</f>
        <v>THW</v>
      </c>
      <c r="AB46" s="7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N46" s="68"/>
      <c r="AO46" s="68"/>
      <c r="AP46" s="68"/>
      <c r="AQ46" s="68"/>
      <c r="AR46" s="68"/>
      <c r="AS46" s="68"/>
      <c r="AT46" s="68"/>
      <c r="AU46" s="124">
        <v>1</v>
      </c>
      <c r="AV46" s="125">
        <v>1</v>
      </c>
      <c r="AW46" s="126" t="s">
        <v>188</v>
      </c>
      <c r="AX46" s="127">
        <f t="shared" ref="AX46:AX51" si="16">$AQ$79</f>
        <v>0.20100000000000001</v>
      </c>
      <c r="AY46" s="125" t="s">
        <v>19</v>
      </c>
      <c r="AZ46" s="125">
        <f>IF(AO$59&gt;1,AV46/AX46,0)</f>
        <v>0</v>
      </c>
      <c r="BA46" s="125"/>
      <c r="BB46" s="128"/>
    </row>
    <row r="47" spans="3:61" ht="12" customHeight="1">
      <c r="E47" s="112">
        <f t="shared" si="9"/>
        <v>130</v>
      </c>
      <c r="F47" s="92">
        <f t="shared" si="7"/>
        <v>1500.00001</v>
      </c>
      <c r="G47" s="92"/>
      <c r="H47" s="92"/>
      <c r="I47" s="92">
        <f t="shared" si="5"/>
        <v>1750</v>
      </c>
      <c r="J47" s="92">
        <f>J31*M47</f>
        <v>1750</v>
      </c>
      <c r="K47" s="92" t="s">
        <v>177</v>
      </c>
      <c r="L47" s="92">
        <v>18</v>
      </c>
      <c r="M47" s="92">
        <v>5</v>
      </c>
      <c r="N47" s="92"/>
      <c r="O47" s="92"/>
      <c r="P47" s="92"/>
      <c r="Q47" s="92">
        <f t="shared" si="10"/>
        <v>130</v>
      </c>
      <c r="R47" s="312" t="s">
        <v>170</v>
      </c>
      <c r="S47" s="92">
        <v>195</v>
      </c>
      <c r="T47" s="92">
        <v>230</v>
      </c>
      <c r="U47" s="92">
        <v>260</v>
      </c>
      <c r="V47" s="92">
        <v>150</v>
      </c>
      <c r="W47" s="92">
        <v>180</v>
      </c>
      <c r="X47" s="92">
        <v>205</v>
      </c>
      <c r="Z47" s="123" t="s">
        <v>189</v>
      </c>
      <c r="AA47" s="193" t="str">
        <f>Input!E18</f>
        <v>AL</v>
      </c>
      <c r="AB47" s="7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N47" s="68"/>
      <c r="AO47" s="68"/>
      <c r="AP47" s="68"/>
      <c r="AQ47" s="68"/>
      <c r="AR47" s="68"/>
      <c r="AS47" s="68"/>
      <c r="AT47" s="68"/>
      <c r="AU47" s="129">
        <v>2</v>
      </c>
      <c r="AV47" s="130">
        <v>1</v>
      </c>
      <c r="AW47" s="131" t="s">
        <v>188</v>
      </c>
      <c r="AX47" s="132">
        <f t="shared" si="16"/>
        <v>0.20100000000000001</v>
      </c>
      <c r="AY47" s="130" t="s">
        <v>19</v>
      </c>
      <c r="AZ47" s="130">
        <f>IF(AO$59&gt;1,AV47/AX47,0)</f>
        <v>0</v>
      </c>
      <c r="BA47" s="130"/>
      <c r="BB47" s="133"/>
    </row>
    <row r="48" spans="3:61" ht="12" customHeight="1">
      <c r="E48" s="112">
        <f t="shared" si="9"/>
        <v>131</v>
      </c>
      <c r="F48" s="92">
        <f t="shared" si="7"/>
        <v>1750.00001</v>
      </c>
      <c r="G48" s="92"/>
      <c r="H48" s="92"/>
      <c r="I48" s="92">
        <f t="shared" si="5"/>
        <v>1800</v>
      </c>
      <c r="J48" s="92">
        <f>J30*M48</f>
        <v>1800</v>
      </c>
      <c r="K48" s="92" t="s">
        <v>176</v>
      </c>
      <c r="L48" s="92">
        <v>17</v>
      </c>
      <c r="M48" s="92">
        <v>6</v>
      </c>
      <c r="N48" s="92"/>
      <c r="O48" s="92"/>
      <c r="P48" s="92"/>
      <c r="Q48" s="92">
        <f t="shared" si="10"/>
        <v>131</v>
      </c>
      <c r="R48" s="312" t="s">
        <v>172</v>
      </c>
      <c r="S48" s="92">
        <v>215</v>
      </c>
      <c r="T48" s="92">
        <v>255</v>
      </c>
      <c r="U48" s="92">
        <v>290</v>
      </c>
      <c r="V48" s="92">
        <v>170</v>
      </c>
      <c r="W48" s="92">
        <v>205</v>
      </c>
      <c r="X48" s="92">
        <v>230</v>
      </c>
      <c r="Z48" s="77" t="s">
        <v>190</v>
      </c>
      <c r="AA48" s="86">
        <f>H81</f>
        <v>6</v>
      </c>
      <c r="AB48" s="7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N48" s="68"/>
      <c r="AO48" s="68"/>
      <c r="AP48" s="68"/>
      <c r="AQ48" s="68"/>
      <c r="AR48" s="68"/>
      <c r="AS48" s="68"/>
      <c r="AT48" s="68"/>
      <c r="AU48" s="129">
        <v>3</v>
      </c>
      <c r="AV48" s="130">
        <v>1</v>
      </c>
      <c r="AW48" s="131" t="s">
        <v>188</v>
      </c>
      <c r="AX48" s="132">
        <f t="shared" si="16"/>
        <v>0.20100000000000001</v>
      </c>
      <c r="AY48" s="130" t="s">
        <v>19</v>
      </c>
      <c r="AZ48" s="130">
        <f>IF(AO$59&gt;2,AV48/AX48,0)</f>
        <v>0</v>
      </c>
      <c r="BA48" s="130"/>
      <c r="BB48" s="133"/>
    </row>
    <row r="49" spans="5:54" ht="12" customHeight="1">
      <c r="E49" s="118">
        <f t="shared" si="9"/>
        <v>132</v>
      </c>
      <c r="F49" s="92">
        <f t="shared" si="7"/>
        <v>1800.00001</v>
      </c>
      <c r="G49" s="92"/>
      <c r="H49" s="92"/>
      <c r="I49" s="92">
        <f t="shared" si="5"/>
        <v>2100</v>
      </c>
      <c r="J49" s="92">
        <f>J31*M49</f>
        <v>2100</v>
      </c>
      <c r="K49" s="92" t="s">
        <v>177</v>
      </c>
      <c r="L49" s="92">
        <v>18</v>
      </c>
      <c r="M49" s="92">
        <v>6</v>
      </c>
      <c r="N49" s="92"/>
      <c r="O49" s="92"/>
      <c r="P49" s="92"/>
      <c r="Q49" s="92">
        <f t="shared" si="10"/>
        <v>132</v>
      </c>
      <c r="R49" s="312" t="s">
        <v>173</v>
      </c>
      <c r="S49" s="92">
        <v>240</v>
      </c>
      <c r="T49" s="92">
        <v>285</v>
      </c>
      <c r="U49" s="92">
        <v>320</v>
      </c>
      <c r="V49" s="92">
        <v>190</v>
      </c>
      <c r="W49" s="92">
        <v>230</v>
      </c>
      <c r="X49" s="92">
        <v>255</v>
      </c>
      <c r="Z49" s="77" t="s">
        <v>191</v>
      </c>
      <c r="AA49" s="194">
        <v>0</v>
      </c>
      <c r="AB49" s="189">
        <v>0</v>
      </c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N49" s="68"/>
      <c r="AO49" s="68"/>
      <c r="AP49" s="68"/>
      <c r="AQ49" s="68"/>
      <c r="AR49" s="68"/>
      <c r="AS49" s="68"/>
      <c r="AT49" s="68"/>
      <c r="AU49" s="129">
        <v>4</v>
      </c>
      <c r="AV49" s="130">
        <v>1</v>
      </c>
      <c r="AW49" s="131" t="s">
        <v>188</v>
      </c>
      <c r="AX49" s="132">
        <f t="shared" si="16"/>
        <v>0.20100000000000001</v>
      </c>
      <c r="AY49" s="130" t="s">
        <v>19</v>
      </c>
      <c r="AZ49" s="130">
        <f>IF(AO$59&gt;3,AV49/AX49,0)</f>
        <v>0</v>
      </c>
      <c r="BA49" s="130"/>
      <c r="BB49" s="133"/>
    </row>
    <row r="50" spans="5:54" ht="12" customHeight="1">
      <c r="F50" s="114" t="s">
        <v>144</v>
      </c>
      <c r="G50" s="134" t="s">
        <v>144</v>
      </c>
      <c r="H50" s="134" t="s">
        <v>144</v>
      </c>
      <c r="I50" s="105" t="s">
        <v>144</v>
      </c>
      <c r="J50" s="86"/>
      <c r="K50" s="86"/>
      <c r="L50" s="86"/>
      <c r="M50" s="86"/>
      <c r="N50" s="68"/>
      <c r="O50" s="68"/>
      <c r="P50" s="68"/>
      <c r="R50" s="92" t="s">
        <v>175</v>
      </c>
      <c r="S50" s="92">
        <v>260</v>
      </c>
      <c r="T50" s="92">
        <v>310</v>
      </c>
      <c r="U50" s="92">
        <v>350</v>
      </c>
      <c r="V50" s="92">
        <v>210</v>
      </c>
      <c r="W50" s="92">
        <v>250</v>
      </c>
      <c r="X50" s="92">
        <v>280</v>
      </c>
      <c r="Z50" s="77" t="s">
        <v>192</v>
      </c>
      <c r="AA50" s="86">
        <f>IF(Input!J9=1,3,4)</f>
        <v>3</v>
      </c>
      <c r="AB50" s="78">
        <f>AA50</f>
        <v>3</v>
      </c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N50" s="68"/>
      <c r="AO50" s="68"/>
      <c r="AP50" s="68"/>
      <c r="AQ50" s="68"/>
      <c r="AR50" s="68"/>
      <c r="AS50" s="68"/>
      <c r="AT50" s="68"/>
      <c r="AU50" s="129">
        <v>5</v>
      </c>
      <c r="AV50" s="130">
        <v>1</v>
      </c>
      <c r="AW50" s="131" t="s">
        <v>188</v>
      </c>
      <c r="AX50" s="132">
        <f t="shared" si="16"/>
        <v>0.20100000000000001</v>
      </c>
      <c r="AY50" s="130" t="s">
        <v>19</v>
      </c>
      <c r="AZ50" s="130">
        <f>IF(AO$59&gt;4,AV50/AX50,0)</f>
        <v>0</v>
      </c>
      <c r="BA50" s="130"/>
      <c r="BB50" s="133"/>
    </row>
    <row r="51" spans="5:54" ht="12" customHeight="1">
      <c r="F51" s="115" t="s">
        <v>149</v>
      </c>
      <c r="G51" s="86" t="s">
        <v>150</v>
      </c>
      <c r="H51" s="86" t="s">
        <v>150</v>
      </c>
      <c r="I51" s="116" t="s">
        <v>150</v>
      </c>
      <c r="J51" s="86"/>
      <c r="K51" s="86"/>
      <c r="L51" s="86"/>
      <c r="M51" s="86"/>
      <c r="N51" s="68"/>
      <c r="O51" s="68"/>
      <c r="P51" s="68"/>
      <c r="R51" s="92" t="s">
        <v>176</v>
      </c>
      <c r="S51" s="92">
        <v>280</v>
      </c>
      <c r="T51" s="92">
        <v>335</v>
      </c>
      <c r="U51" s="92">
        <v>380</v>
      </c>
      <c r="V51" s="92">
        <v>225</v>
      </c>
      <c r="W51" s="92">
        <v>270</v>
      </c>
      <c r="X51" s="92">
        <v>305</v>
      </c>
      <c r="Z51" s="77" t="s">
        <v>193</v>
      </c>
      <c r="AA51" s="86"/>
      <c r="AB51" s="78">
        <f>AB49+AB50</f>
        <v>3</v>
      </c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N51" s="68"/>
      <c r="AO51" s="68"/>
      <c r="AP51" s="68"/>
      <c r="AQ51" s="68"/>
      <c r="AR51" s="68"/>
      <c r="AS51" s="68"/>
      <c r="AT51" s="68"/>
      <c r="AU51" s="129">
        <v>6</v>
      </c>
      <c r="AV51" s="130">
        <v>1</v>
      </c>
      <c r="AW51" s="131" t="s">
        <v>188</v>
      </c>
      <c r="AX51" s="132">
        <f t="shared" si="16"/>
        <v>0.20100000000000001</v>
      </c>
      <c r="AY51" s="130" t="s">
        <v>19</v>
      </c>
      <c r="AZ51" s="130">
        <f>IF(AO$59&gt;5,AV51/AX51,0)</f>
        <v>0</v>
      </c>
      <c r="BA51" s="130"/>
      <c r="BB51" s="133"/>
    </row>
    <row r="52" spans="5:54" ht="12" customHeight="1">
      <c r="F52" s="115" t="s">
        <v>150</v>
      </c>
      <c r="G52" s="86" t="s">
        <v>133</v>
      </c>
      <c r="H52" s="86" t="s">
        <v>133</v>
      </c>
      <c r="I52" s="116" t="s">
        <v>155</v>
      </c>
      <c r="J52" s="86"/>
      <c r="K52" s="86"/>
      <c r="L52" s="86"/>
      <c r="M52" s="68"/>
      <c r="N52" s="68"/>
      <c r="R52" s="99" t="s">
        <v>177</v>
      </c>
      <c r="S52" s="99">
        <v>320</v>
      </c>
      <c r="T52" s="99">
        <v>380</v>
      </c>
      <c r="U52" s="99">
        <v>430</v>
      </c>
      <c r="V52" s="99">
        <v>260</v>
      </c>
      <c r="W52" s="99">
        <v>310</v>
      </c>
      <c r="X52" s="99">
        <v>350</v>
      </c>
      <c r="Z52" s="91" t="s">
        <v>190</v>
      </c>
      <c r="AA52" s="135"/>
      <c r="AB52" s="83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N52" s="68"/>
      <c r="AO52" s="68"/>
      <c r="AP52" s="68"/>
      <c r="AQ52" s="68"/>
      <c r="AR52" s="68"/>
      <c r="AS52" s="68"/>
      <c r="AT52" s="68"/>
      <c r="AU52" s="136"/>
      <c r="AV52" s="130"/>
      <c r="AW52" s="137"/>
      <c r="AX52" s="132"/>
      <c r="AY52" s="130"/>
      <c r="AZ52" s="130"/>
      <c r="BA52" s="130"/>
      <c r="BB52" s="133"/>
    </row>
    <row r="53" spans="5:54" ht="12" customHeight="1">
      <c r="F53" s="115" t="s">
        <v>4</v>
      </c>
      <c r="G53" s="86" t="s">
        <v>156</v>
      </c>
      <c r="H53" s="86" t="s">
        <v>157</v>
      </c>
      <c r="I53" s="116" t="s">
        <v>77</v>
      </c>
      <c r="J53" s="86"/>
      <c r="K53" s="86"/>
      <c r="L53" s="86"/>
      <c r="M53" s="68"/>
      <c r="N53" s="68"/>
      <c r="O53" s="68"/>
      <c r="P53" s="68"/>
      <c r="R53" s="68"/>
      <c r="Z53" s="79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N53" s="69" t="s">
        <v>194</v>
      </c>
      <c r="AO53" s="68"/>
      <c r="AP53" s="68"/>
      <c r="AQ53" s="68"/>
      <c r="AR53" s="68"/>
      <c r="AS53" s="68"/>
      <c r="AT53" s="68"/>
      <c r="AU53" s="138" t="s">
        <v>195</v>
      </c>
      <c r="AV53" s="139"/>
      <c r="AW53" s="140"/>
      <c r="AX53" s="130">
        <v>1</v>
      </c>
      <c r="AY53" s="130" t="s">
        <v>188</v>
      </c>
      <c r="AZ53" s="130">
        <f>SUM(AZ46:AZ51)</f>
        <v>0</v>
      </c>
      <c r="BA53" s="130" t="s">
        <v>19</v>
      </c>
      <c r="BB53" s="133">
        <f>IF(AO$59=1,0,AX53/AZ53)</f>
        <v>0</v>
      </c>
    </row>
    <row r="54" spans="5:54" ht="12" customHeight="1">
      <c r="E54" s="66" t="s">
        <v>196</v>
      </c>
      <c r="F54" s="117">
        <f>VLOOKUP(G9,F18:P49,4)</f>
        <v>125</v>
      </c>
      <c r="G54" s="141" t="str">
        <f>VLOOKUP(G9,F18:P49,6)</f>
        <v>#1/0</v>
      </c>
      <c r="H54" s="141">
        <f>VLOOKUP(G9,F18:P49,7)</f>
        <v>10</v>
      </c>
      <c r="I54" s="107">
        <f>VLOOKUP(G9,F18:P49,8)</f>
        <v>1</v>
      </c>
      <c r="J54" s="86"/>
      <c r="K54" s="93" t="s">
        <v>197</v>
      </c>
      <c r="L54" s="86"/>
      <c r="M54" s="68"/>
      <c r="N54" s="68"/>
      <c r="O54" s="68"/>
      <c r="P54" s="68"/>
      <c r="R54" s="68"/>
      <c r="Z54" s="88" t="s">
        <v>150</v>
      </c>
      <c r="AA54" s="88" t="s">
        <v>150</v>
      </c>
      <c r="AB54" s="88" t="str">
        <f t="shared" ref="AB54:AB73" si="17">IF($AA$46="THW",AF54,IF($AA$46="RHW",AG54,IF($AA$46="THHN",AH54,IF($AA$46="XHHW",AI54,IF($AA$46="THW-CA",AJ54,IF($AA$46="THHN-CA",AK54,IF($AA$46="XHHW-CA",AL54,"ERR")))))))</f>
        <v>ST</v>
      </c>
      <c r="AC54" s="68"/>
      <c r="AD54" s="88" t="s">
        <v>150</v>
      </c>
      <c r="AE54" s="88" t="s">
        <v>150</v>
      </c>
      <c r="AF54" s="88" t="s">
        <v>198</v>
      </c>
      <c r="AG54" s="88" t="s">
        <v>198</v>
      </c>
      <c r="AH54" s="88" t="s">
        <v>198</v>
      </c>
      <c r="AI54" s="88" t="s">
        <v>198</v>
      </c>
      <c r="AJ54" s="88" t="s">
        <v>199</v>
      </c>
      <c r="AK54" s="88" t="s">
        <v>199</v>
      </c>
      <c r="AL54" s="88" t="s">
        <v>199</v>
      </c>
      <c r="AN54" s="68"/>
      <c r="AO54" s="68" t="s">
        <v>200</v>
      </c>
      <c r="AP54" s="68" t="s">
        <v>75</v>
      </c>
      <c r="AQ54" s="68"/>
      <c r="AR54" s="68"/>
      <c r="AS54" s="68"/>
      <c r="AT54" s="68"/>
      <c r="AU54" s="142"/>
      <c r="AV54" s="140"/>
      <c r="AW54" s="140"/>
      <c r="AX54" s="143"/>
      <c r="AY54" s="143"/>
      <c r="AZ54" s="143"/>
      <c r="BA54" s="143"/>
      <c r="BB54" s="144"/>
    </row>
    <row r="55" spans="5:54" ht="12" customHeight="1">
      <c r="E55" s="66" t="s">
        <v>9</v>
      </c>
      <c r="F55" s="117">
        <f>F54</f>
        <v>125</v>
      </c>
      <c r="G55" s="141" t="str">
        <f>G54</f>
        <v>#1/0</v>
      </c>
      <c r="H55" s="141">
        <f>H54</f>
        <v>10</v>
      </c>
      <c r="I55" s="107">
        <f>I54</f>
        <v>1</v>
      </c>
      <c r="J55" s="68"/>
      <c r="K55" s="68">
        <f>VLOOKUP(M7,F18:P49,4)</f>
        <v>50</v>
      </c>
      <c r="L55" s="68" t="str">
        <f>VLOOKUP(M7,F18:P49,6)</f>
        <v>#6</v>
      </c>
      <c r="M55" s="68">
        <f>VLOOKUP(M7,F18:P49,7)</f>
        <v>5</v>
      </c>
      <c r="N55" s="68"/>
      <c r="O55" s="68"/>
      <c r="P55" s="68"/>
      <c r="R55" s="79" t="s">
        <v>536</v>
      </c>
      <c r="Z55" s="92" t="s">
        <v>133</v>
      </c>
      <c r="AA55" s="92" t="s">
        <v>133</v>
      </c>
      <c r="AB55" s="92" t="str">
        <f t="shared" si="17"/>
        <v>THW</v>
      </c>
      <c r="AC55" s="68"/>
      <c r="AD55" s="92" t="s">
        <v>150</v>
      </c>
      <c r="AE55" s="92" t="s">
        <v>150</v>
      </c>
      <c r="AF55" s="92" t="s">
        <v>202</v>
      </c>
      <c r="AG55" s="92" t="s">
        <v>203</v>
      </c>
      <c r="AH55" s="92" t="s">
        <v>204</v>
      </c>
      <c r="AI55" s="92" t="s">
        <v>205</v>
      </c>
      <c r="AJ55" s="92" t="s">
        <v>206</v>
      </c>
      <c r="AK55" s="92" t="s">
        <v>207</v>
      </c>
      <c r="AL55" s="92" t="s">
        <v>208</v>
      </c>
      <c r="AN55" s="76" t="s">
        <v>101</v>
      </c>
      <c r="AO55" s="73" t="str">
        <f>G6</f>
        <v>AL</v>
      </c>
      <c r="AP55" s="68"/>
      <c r="AQ55" s="68"/>
      <c r="AR55" s="68"/>
      <c r="AS55" s="68"/>
      <c r="AT55" s="68"/>
      <c r="AU55" s="138" t="s">
        <v>209</v>
      </c>
      <c r="AV55" s="139"/>
      <c r="AW55" s="140"/>
      <c r="AX55" s="143"/>
      <c r="AY55" s="143"/>
      <c r="AZ55" s="143"/>
      <c r="BA55" s="143"/>
      <c r="BB55" s="145">
        <f>IF($AO$59&gt;1,0,$AQ$79)</f>
        <v>0.20100000000000001</v>
      </c>
    </row>
    <row r="56" spans="5:54" ht="12" customHeight="1">
      <c r="E56" s="66" t="s">
        <v>210</v>
      </c>
      <c r="F56" s="117">
        <f>K60</f>
        <v>50</v>
      </c>
      <c r="G56" s="141" t="str">
        <f>L60</f>
        <v>#6</v>
      </c>
      <c r="H56" s="141">
        <f>M60</f>
        <v>5</v>
      </c>
      <c r="I56" s="107">
        <f>I54</f>
        <v>1</v>
      </c>
      <c r="J56" s="68"/>
      <c r="K56" s="68">
        <f>IF(AND(M55&lt;10,I54&gt;1),I23,K55)*I54</f>
        <v>50</v>
      </c>
      <c r="L56" s="68" t="str">
        <f>IF(AND(M55&lt;10,I54&gt;1),K23,L55)</f>
        <v>#6</v>
      </c>
      <c r="M56" s="68">
        <f>IF(AND(M55&lt;10,I54&gt;1),10,M55)</f>
        <v>5</v>
      </c>
      <c r="N56" s="68"/>
      <c r="O56" s="68"/>
      <c r="P56" s="68"/>
      <c r="R56" s="88" t="s">
        <v>150</v>
      </c>
      <c r="S56" s="88" t="s">
        <v>151</v>
      </c>
      <c r="T56" s="88" t="s">
        <v>152</v>
      </c>
      <c r="U56" s="88" t="s">
        <v>153</v>
      </c>
      <c r="V56" s="88" t="s">
        <v>151</v>
      </c>
      <c r="W56" s="88" t="s">
        <v>152</v>
      </c>
      <c r="X56" s="88" t="s">
        <v>153</v>
      </c>
      <c r="Z56" s="92" t="s">
        <v>156</v>
      </c>
      <c r="AA56" s="92" t="s">
        <v>157</v>
      </c>
      <c r="AB56" s="92" t="str">
        <f t="shared" si="17"/>
        <v>SIZE</v>
      </c>
      <c r="AC56" s="68"/>
      <c r="AD56" s="92" t="s">
        <v>133</v>
      </c>
      <c r="AE56" s="92" t="s">
        <v>133</v>
      </c>
      <c r="AF56" s="92" t="s">
        <v>133</v>
      </c>
      <c r="AG56" s="92" t="s">
        <v>133</v>
      </c>
      <c r="AH56" s="92" t="s">
        <v>133</v>
      </c>
      <c r="AI56" s="92" t="s">
        <v>133</v>
      </c>
      <c r="AJ56" s="92" t="s">
        <v>133</v>
      </c>
      <c r="AK56" s="92" t="s">
        <v>133</v>
      </c>
      <c r="AL56" s="92" t="s">
        <v>133</v>
      </c>
      <c r="AN56" s="123" t="s">
        <v>211</v>
      </c>
      <c r="AO56" s="146">
        <f>Input!E17</f>
        <v>25</v>
      </c>
      <c r="AP56" s="68"/>
      <c r="AQ56" s="68"/>
      <c r="AR56" s="68"/>
      <c r="AS56" s="68"/>
      <c r="AT56" s="68"/>
      <c r="AU56" s="147"/>
      <c r="AV56" s="148"/>
      <c r="AW56" s="148"/>
      <c r="AX56" s="149"/>
      <c r="AY56" s="149"/>
      <c r="AZ56" s="149"/>
      <c r="BA56" s="149"/>
      <c r="BB56" s="150"/>
    </row>
    <row r="57" spans="5:54" ht="12" customHeight="1">
      <c r="F57" s="68">
        <f>VLOOKUP(G9,F18:Q49,12)</f>
        <v>106</v>
      </c>
      <c r="G57" s="68"/>
      <c r="H57" s="68"/>
      <c r="I57" s="68"/>
      <c r="J57" s="68"/>
      <c r="K57" s="68"/>
      <c r="L57" s="68"/>
      <c r="M57" s="68"/>
      <c r="N57" s="68"/>
      <c r="O57" s="68"/>
      <c r="P57" s="68"/>
      <c r="R57" s="92" t="s">
        <v>133</v>
      </c>
      <c r="S57" s="92" t="s">
        <v>4</v>
      </c>
      <c r="T57" s="92" t="s">
        <v>4</v>
      </c>
      <c r="U57" s="92" t="s">
        <v>4</v>
      </c>
      <c r="V57" s="92" t="s">
        <v>4</v>
      </c>
      <c r="W57" s="92" t="s">
        <v>4</v>
      </c>
      <c r="X57" s="92" t="s">
        <v>4</v>
      </c>
      <c r="Z57" s="92"/>
      <c r="AA57" s="92"/>
      <c r="AB57" s="99" t="str">
        <f t="shared" si="17"/>
        <v>SQ IN</v>
      </c>
      <c r="AC57" s="68"/>
      <c r="AD57" s="92" t="s">
        <v>156</v>
      </c>
      <c r="AE57" s="92" t="s">
        <v>157</v>
      </c>
      <c r="AF57" s="92" t="s">
        <v>147</v>
      </c>
      <c r="AG57" s="92" t="s">
        <v>147</v>
      </c>
      <c r="AH57" s="92" t="s">
        <v>147</v>
      </c>
      <c r="AI57" s="92" t="s">
        <v>147</v>
      </c>
      <c r="AJ57" s="92" t="s">
        <v>147</v>
      </c>
      <c r="AK57" s="92" t="s">
        <v>147</v>
      </c>
      <c r="AL57" s="92" t="s">
        <v>147</v>
      </c>
      <c r="AN57" s="123" t="s">
        <v>212</v>
      </c>
      <c r="AO57" s="151">
        <f>Calcs!E83</f>
        <v>114</v>
      </c>
      <c r="AP57" s="81">
        <f>Calcs!E83</f>
        <v>114</v>
      </c>
      <c r="AQ57" s="81"/>
      <c r="AR57" s="81"/>
      <c r="AS57" s="68"/>
      <c r="AT57" s="68"/>
      <c r="AU57" s="152" t="s">
        <v>213</v>
      </c>
      <c r="AV57" s="153"/>
      <c r="AW57" s="153"/>
      <c r="AX57" s="154"/>
      <c r="AY57" s="154"/>
      <c r="AZ57" s="154"/>
      <c r="BA57" s="154"/>
      <c r="BB57" s="155">
        <f>ROUND(MAX(BB53:BB55),4)</f>
        <v>0.20100000000000001</v>
      </c>
    </row>
    <row r="58" spans="5:54" ht="12" customHeight="1">
      <c r="F58" s="68"/>
      <c r="G58" s="68"/>
      <c r="H58" s="68"/>
      <c r="I58" s="68"/>
      <c r="J58" s="68"/>
      <c r="K58" s="68" t="s">
        <v>25</v>
      </c>
      <c r="L58" s="68"/>
      <c r="M58" s="68"/>
      <c r="N58" s="68"/>
      <c r="O58" s="68"/>
      <c r="P58" s="68"/>
      <c r="R58" s="92" t="s">
        <v>156</v>
      </c>
      <c r="S58" s="92" t="s">
        <v>159</v>
      </c>
      <c r="T58" s="92" t="s">
        <v>159</v>
      </c>
      <c r="U58" s="92" t="s">
        <v>159</v>
      </c>
      <c r="V58" s="92" t="s">
        <v>160</v>
      </c>
      <c r="W58" s="92" t="s">
        <v>160</v>
      </c>
      <c r="X58" s="92" t="s">
        <v>160</v>
      </c>
      <c r="Z58" s="88" t="s">
        <v>214</v>
      </c>
      <c r="AA58" s="88">
        <v>3</v>
      </c>
      <c r="AB58" s="88">
        <f t="shared" si="17"/>
        <v>3.3300000000000003E-2</v>
      </c>
      <c r="AC58" s="68"/>
      <c r="AD58" s="88" t="s">
        <v>214</v>
      </c>
      <c r="AE58" s="88">
        <v>3</v>
      </c>
      <c r="AF58" s="156">
        <v>3.3300000000000003E-2</v>
      </c>
      <c r="AG58" s="156">
        <v>3.3300000000000003E-2</v>
      </c>
      <c r="AH58" s="156">
        <v>2.1100000000000001E-2</v>
      </c>
      <c r="AI58" s="156">
        <v>2.4299999999999999E-2</v>
      </c>
      <c r="AJ58" s="156">
        <v>5.0999999999999997E-2</v>
      </c>
      <c r="AK58" s="156">
        <v>5.0999999999999997E-2</v>
      </c>
      <c r="AL58" s="156">
        <v>3.9399999999999998E-2</v>
      </c>
      <c r="AN58" s="123" t="s">
        <v>215</v>
      </c>
      <c r="AO58" s="157">
        <f>Input!Q4</f>
        <v>240</v>
      </c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</row>
    <row r="59" spans="5:54" ht="12" customHeight="1">
      <c r="F59" s="69" t="s">
        <v>216</v>
      </c>
      <c r="G59" s="69"/>
      <c r="H59" s="68"/>
      <c r="I59" s="68"/>
      <c r="J59" s="68"/>
      <c r="K59" s="68">
        <f>VLOOKUP(M10,F18:P49,4)</f>
        <v>50</v>
      </c>
      <c r="L59" s="68" t="str">
        <f>VLOOKUP(M10,F18:P49,6)</f>
        <v>#6</v>
      </c>
      <c r="M59" s="68">
        <f>VLOOKUP(M10,F18:P49,7)</f>
        <v>5</v>
      </c>
      <c r="N59" s="68"/>
      <c r="O59" s="68"/>
      <c r="P59" s="68"/>
      <c r="R59" s="88" t="s">
        <v>158</v>
      </c>
      <c r="S59" s="88">
        <v>55</v>
      </c>
      <c r="T59" s="88">
        <v>65</v>
      </c>
      <c r="U59" s="88">
        <v>75</v>
      </c>
      <c r="V59" s="88">
        <v>40</v>
      </c>
      <c r="W59" s="88">
        <v>50</v>
      </c>
      <c r="X59" s="88">
        <v>60</v>
      </c>
      <c r="Z59" s="92" t="s">
        <v>217</v>
      </c>
      <c r="AA59" s="92">
        <v>4</v>
      </c>
      <c r="AB59" s="88">
        <f t="shared" si="17"/>
        <v>5.5599999999999997E-2</v>
      </c>
      <c r="AC59" s="68"/>
      <c r="AD59" s="92" t="s">
        <v>217</v>
      </c>
      <c r="AE59" s="92">
        <v>4</v>
      </c>
      <c r="AF59" s="97">
        <v>5.5599999999999997E-2</v>
      </c>
      <c r="AG59" s="97">
        <v>5.5599999999999997E-2</v>
      </c>
      <c r="AH59" s="97">
        <v>3.6600000000000001E-2</v>
      </c>
      <c r="AI59" s="97">
        <v>4.3700000000000003E-2</v>
      </c>
      <c r="AJ59" s="97">
        <v>5.0999999999999997E-2</v>
      </c>
      <c r="AK59" s="97">
        <v>5.0999999999999997E-2</v>
      </c>
      <c r="AL59" s="97">
        <v>3.9399999999999998E-2</v>
      </c>
      <c r="AN59" s="123" t="s">
        <v>109</v>
      </c>
      <c r="AO59" s="78">
        <f>I54</f>
        <v>1</v>
      </c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</row>
    <row r="60" spans="5:54" ht="12" customHeight="1">
      <c r="F60" s="72" t="s">
        <v>218</v>
      </c>
      <c r="G60" s="73" t="str">
        <f>Input!E22</f>
        <v>YES</v>
      </c>
      <c r="H60" s="68"/>
      <c r="I60" s="68"/>
      <c r="J60" s="68"/>
      <c r="K60" s="68">
        <f>IF(AND(M59&lt;10,I54&gt;1),I23,K59)*I54</f>
        <v>50</v>
      </c>
      <c r="L60" s="68" t="str">
        <f>IF(AND(M59&lt;10,I54&gt;1),K23,L59)</f>
        <v>#6</v>
      </c>
      <c r="M60" s="68">
        <f>IF(AND(M59&lt;10,I54&gt;1),10,M59)</f>
        <v>5</v>
      </c>
      <c r="N60" s="68"/>
      <c r="O60" s="68"/>
      <c r="P60" s="68"/>
      <c r="R60" s="92" t="s">
        <v>161</v>
      </c>
      <c r="S60" s="315">
        <v>100</v>
      </c>
      <c r="T60" s="315">
        <v>100</v>
      </c>
      <c r="U60" s="315">
        <v>100</v>
      </c>
      <c r="V60" s="92">
        <v>55</v>
      </c>
      <c r="W60" s="92">
        <v>65</v>
      </c>
      <c r="X60" s="92">
        <v>75</v>
      </c>
      <c r="Z60" s="88" t="s">
        <v>158</v>
      </c>
      <c r="AA60" s="88">
        <v>5</v>
      </c>
      <c r="AB60" s="88">
        <f t="shared" si="17"/>
        <v>7.2599999999999998E-2</v>
      </c>
      <c r="AC60" s="68"/>
      <c r="AD60" s="88" t="s">
        <v>158</v>
      </c>
      <c r="AE60" s="88">
        <v>5</v>
      </c>
      <c r="AF60" s="156">
        <v>7.2599999999999998E-2</v>
      </c>
      <c r="AG60" s="156">
        <v>0.1041</v>
      </c>
      <c r="AH60" s="156">
        <v>5.0700000000000002E-2</v>
      </c>
      <c r="AI60" s="156">
        <v>5.8999999999999997E-2</v>
      </c>
      <c r="AJ60" s="156">
        <v>6.6000000000000003E-2</v>
      </c>
      <c r="AK60" s="156">
        <v>4.5199999999999997E-2</v>
      </c>
      <c r="AL60" s="156">
        <v>3.9399999999999998E-2</v>
      </c>
      <c r="AN60" s="82" t="s">
        <v>219</v>
      </c>
      <c r="AO60" s="83">
        <f>H54</f>
        <v>10</v>
      </c>
      <c r="AP60" s="68">
        <f>H54</f>
        <v>10</v>
      </c>
      <c r="AQ60" s="68">
        <f>H55</f>
        <v>10</v>
      </c>
      <c r="AR60" s="68">
        <f>H54</f>
        <v>10</v>
      </c>
      <c r="AS60" s="68"/>
      <c r="AT60" s="68"/>
      <c r="AU60" s="68"/>
      <c r="AV60" s="68"/>
      <c r="AW60" s="68"/>
      <c r="AX60" s="68"/>
      <c r="AY60" s="68"/>
      <c r="AZ60" s="68"/>
    </row>
    <row r="61" spans="5:54" ht="12" customHeight="1">
      <c r="F61" s="77" t="s">
        <v>220</v>
      </c>
      <c r="G61" s="78">
        <f>AA39</f>
        <v>125</v>
      </c>
      <c r="H61" s="68"/>
      <c r="I61" s="68"/>
      <c r="J61" s="68"/>
      <c r="K61" s="68"/>
      <c r="L61" s="68"/>
      <c r="M61" s="68"/>
      <c r="N61" s="68"/>
      <c r="O61" s="68"/>
      <c r="P61" s="68"/>
      <c r="R61" s="92" t="s">
        <v>163</v>
      </c>
      <c r="S61" s="315">
        <v>110</v>
      </c>
      <c r="T61" s="315">
        <v>110</v>
      </c>
      <c r="U61" s="92">
        <v>110</v>
      </c>
      <c r="V61" s="92">
        <v>65</v>
      </c>
      <c r="W61" s="92">
        <v>75</v>
      </c>
      <c r="X61" s="92">
        <v>85</v>
      </c>
      <c r="Z61" s="92" t="s">
        <v>161</v>
      </c>
      <c r="AA61" s="92">
        <v>6</v>
      </c>
      <c r="AB61" s="92">
        <f t="shared" si="17"/>
        <v>9.7299999999999998E-2</v>
      </c>
      <c r="AC61" s="68"/>
      <c r="AD61" s="92" t="s">
        <v>161</v>
      </c>
      <c r="AE61" s="92">
        <v>6</v>
      </c>
      <c r="AF61" s="97">
        <v>9.7299999999999998E-2</v>
      </c>
      <c r="AG61" s="97">
        <v>0.1333</v>
      </c>
      <c r="AH61" s="97">
        <v>8.2400000000000001E-2</v>
      </c>
      <c r="AI61" s="97">
        <v>8.14E-2</v>
      </c>
      <c r="AJ61" s="97">
        <v>8.8099999999999998E-2</v>
      </c>
      <c r="AK61" s="97">
        <v>7.2999999999999995E-2</v>
      </c>
      <c r="AL61" s="97">
        <v>5.2999999999999999E-2</v>
      </c>
      <c r="AN61" s="88" t="s">
        <v>150</v>
      </c>
      <c r="AO61" s="88" t="s">
        <v>150</v>
      </c>
      <c r="AP61" s="88" t="str">
        <f t="shared" ref="AP61:AP77" si="18">IF($AO$55="AL",AR61,IF($AO$55="CU",AQ61,"ERR"))</f>
        <v>RES</v>
      </c>
      <c r="AQ61" s="88" t="s">
        <v>221</v>
      </c>
      <c r="AR61" s="88" t="s">
        <v>221</v>
      </c>
      <c r="AS61" s="68"/>
      <c r="AT61" s="68"/>
      <c r="AU61" s="119" t="s">
        <v>222</v>
      </c>
      <c r="AV61" s="120"/>
      <c r="AW61" s="121"/>
      <c r="AX61" s="121"/>
      <c r="AY61" s="121"/>
      <c r="AZ61" s="121"/>
      <c r="BA61" s="121"/>
      <c r="BB61" s="121"/>
    </row>
    <row r="62" spans="5:54" ht="12" customHeight="1">
      <c r="F62" s="91" t="s">
        <v>223</v>
      </c>
      <c r="G62" s="158" t="str">
        <f>G6</f>
        <v>AL</v>
      </c>
      <c r="H62" s="68"/>
      <c r="I62" s="68"/>
      <c r="J62" s="68"/>
      <c r="K62" s="68"/>
      <c r="L62" s="68"/>
      <c r="M62" s="68"/>
      <c r="N62" s="68"/>
      <c r="O62" s="68"/>
      <c r="P62" s="68"/>
      <c r="R62" s="92" t="s">
        <v>162</v>
      </c>
      <c r="S62" s="315">
        <v>125</v>
      </c>
      <c r="T62" s="315">
        <v>125</v>
      </c>
      <c r="U62" s="92">
        <v>130</v>
      </c>
      <c r="V62" s="315">
        <v>100</v>
      </c>
      <c r="W62" s="315">
        <v>100</v>
      </c>
      <c r="X62" s="92">
        <v>100</v>
      </c>
      <c r="Z62" s="92" t="s">
        <v>163</v>
      </c>
      <c r="AA62" s="92">
        <v>7</v>
      </c>
      <c r="AB62" s="92">
        <f t="shared" si="17"/>
        <v>0.1134</v>
      </c>
      <c r="AC62" s="68"/>
      <c r="AD62" s="92" t="s">
        <v>163</v>
      </c>
      <c r="AE62" s="92">
        <v>7</v>
      </c>
      <c r="AF62" s="97">
        <v>0.1134</v>
      </c>
      <c r="AG62" s="97">
        <v>0.15210000000000001</v>
      </c>
      <c r="AH62" s="97">
        <v>9.7299999999999998E-2</v>
      </c>
      <c r="AI62" s="97">
        <v>9.6199999999999994E-2</v>
      </c>
      <c r="AJ62" s="97"/>
      <c r="AK62" s="97"/>
      <c r="AL62" s="97"/>
      <c r="AN62" s="92" t="s">
        <v>133</v>
      </c>
      <c r="AO62" s="92" t="s">
        <v>133</v>
      </c>
      <c r="AP62" s="92" t="str">
        <f t="shared" si="18"/>
        <v>NEC</v>
      </c>
      <c r="AQ62" s="92" t="s">
        <v>224</v>
      </c>
      <c r="AR62" s="92" t="s">
        <v>224</v>
      </c>
      <c r="AS62" s="68"/>
      <c r="AT62" s="68"/>
      <c r="AU62" s="120"/>
      <c r="AV62" s="120"/>
      <c r="AW62" s="120"/>
      <c r="AX62" s="121"/>
      <c r="AY62" s="121"/>
      <c r="AZ62" s="121"/>
      <c r="BA62" s="121"/>
      <c r="BB62" s="121"/>
    </row>
    <row r="63" spans="5:54" ht="12" customHeight="1">
      <c r="F63" s="93" t="s">
        <v>225</v>
      </c>
      <c r="G63" s="86"/>
      <c r="H63" s="68"/>
      <c r="I63" s="68"/>
      <c r="J63" s="68"/>
      <c r="K63" s="68"/>
      <c r="L63" s="68"/>
      <c r="M63" s="68"/>
      <c r="N63" s="68"/>
      <c r="O63" s="68"/>
      <c r="P63" s="68"/>
      <c r="R63" s="92" t="s">
        <v>164</v>
      </c>
      <c r="S63" s="315">
        <v>150</v>
      </c>
      <c r="T63" s="315">
        <v>150</v>
      </c>
      <c r="U63" s="92">
        <v>150</v>
      </c>
      <c r="V63" s="315">
        <v>110</v>
      </c>
      <c r="W63" s="315">
        <v>110</v>
      </c>
      <c r="X63" s="92">
        <v>115</v>
      </c>
      <c r="Z63" s="92" t="s">
        <v>162</v>
      </c>
      <c r="AA63" s="92">
        <v>8</v>
      </c>
      <c r="AB63" s="92">
        <f t="shared" si="17"/>
        <v>0.1333</v>
      </c>
      <c r="AC63" s="68"/>
      <c r="AD63" s="92" t="s">
        <v>162</v>
      </c>
      <c r="AE63" s="92">
        <v>8</v>
      </c>
      <c r="AF63" s="97">
        <v>0.1333</v>
      </c>
      <c r="AG63" s="97">
        <v>0.17499999999999999</v>
      </c>
      <c r="AH63" s="97">
        <v>0.1158</v>
      </c>
      <c r="AI63" s="97">
        <v>0.11459999999999999</v>
      </c>
      <c r="AJ63" s="97">
        <v>0.11940000000000001</v>
      </c>
      <c r="AK63" s="97">
        <v>0.1017</v>
      </c>
      <c r="AL63" s="97">
        <v>7.2999999999999995E-2</v>
      </c>
      <c r="AN63" s="92" t="s">
        <v>156</v>
      </c>
      <c r="AO63" s="92" t="s">
        <v>157</v>
      </c>
      <c r="AP63" s="92" t="str">
        <f t="shared" si="18"/>
        <v>AL</v>
      </c>
      <c r="AQ63" s="92" t="s">
        <v>159</v>
      </c>
      <c r="AR63" s="92" t="s">
        <v>160</v>
      </c>
      <c r="AS63" s="68"/>
      <c r="AT63" s="68"/>
      <c r="AU63" s="124">
        <v>1</v>
      </c>
      <c r="AV63" s="125">
        <v>1</v>
      </c>
      <c r="AW63" s="126" t="s">
        <v>188</v>
      </c>
      <c r="AX63" s="127">
        <f>$AO$79</f>
        <v>0.20100000000000001</v>
      </c>
      <c r="AY63" s="125" t="s">
        <v>19</v>
      </c>
      <c r="AZ63" s="125">
        <f>IF($AO$59&gt;1,$AV$63/$AX$63,0)</f>
        <v>0</v>
      </c>
      <c r="BA63" s="125"/>
      <c r="BB63" s="128"/>
    </row>
    <row r="64" spans="5:54" ht="12" customHeight="1">
      <c r="F64" s="88" t="s">
        <v>122</v>
      </c>
      <c r="G64" s="88"/>
      <c r="H64" s="88" t="s">
        <v>143</v>
      </c>
      <c r="I64" s="88" t="s">
        <v>226</v>
      </c>
      <c r="J64" s="88" t="s">
        <v>226</v>
      </c>
      <c r="K64" s="88"/>
      <c r="L64" s="88" t="s">
        <v>143</v>
      </c>
      <c r="M64" s="88" t="s">
        <v>159</v>
      </c>
      <c r="N64" s="88" t="s">
        <v>159</v>
      </c>
      <c r="O64" s="88" t="s">
        <v>160</v>
      </c>
      <c r="P64" s="88" t="s">
        <v>160</v>
      </c>
      <c r="R64" s="92" t="s">
        <v>165</v>
      </c>
      <c r="S64" s="315">
        <v>175</v>
      </c>
      <c r="T64" s="315">
        <v>175</v>
      </c>
      <c r="U64" s="315">
        <v>175</v>
      </c>
      <c r="V64" s="315">
        <v>125</v>
      </c>
      <c r="W64" s="315">
        <v>125</v>
      </c>
      <c r="X64" s="92">
        <v>135</v>
      </c>
      <c r="Z64" s="92" t="s">
        <v>164</v>
      </c>
      <c r="AA64" s="92">
        <v>9</v>
      </c>
      <c r="AB64" s="92">
        <f t="shared" si="17"/>
        <v>0.19009999999999999</v>
      </c>
      <c r="AC64" s="68"/>
      <c r="AD64" s="92" t="s">
        <v>164</v>
      </c>
      <c r="AE64" s="92">
        <v>9</v>
      </c>
      <c r="AF64" s="97">
        <v>0.19009999999999999</v>
      </c>
      <c r="AG64" s="97">
        <v>0.26600000000000001</v>
      </c>
      <c r="AH64" s="97">
        <v>0.15620000000000001</v>
      </c>
      <c r="AI64" s="97">
        <v>0.15340000000000001</v>
      </c>
      <c r="AJ64" s="97">
        <v>0.16980000000000001</v>
      </c>
      <c r="AK64" s="97">
        <v>0.13519999999999999</v>
      </c>
      <c r="AL64" s="97">
        <v>0.1017</v>
      </c>
      <c r="AN64" s="88" t="s">
        <v>158</v>
      </c>
      <c r="AO64" s="88">
        <v>5</v>
      </c>
      <c r="AP64" s="156">
        <f t="shared" si="18"/>
        <v>0.80800000000000005</v>
      </c>
      <c r="AQ64" s="156">
        <v>0.49099999999999999</v>
      </c>
      <c r="AR64" s="156">
        <v>0.80800000000000005</v>
      </c>
      <c r="AS64" s="68"/>
      <c r="AT64" s="68"/>
      <c r="AU64" s="129">
        <v>2</v>
      </c>
      <c r="AV64" s="130">
        <v>1</v>
      </c>
      <c r="AW64" s="131" t="s">
        <v>188</v>
      </c>
      <c r="AX64" s="132">
        <f>AO$79</f>
        <v>0.20100000000000001</v>
      </c>
      <c r="AY64" s="130" t="s">
        <v>19</v>
      </c>
      <c r="AZ64" s="130">
        <f>IF(AO$59&gt;1,AV64/AX64,0)</f>
        <v>0</v>
      </c>
      <c r="BA64" s="130"/>
      <c r="BB64" s="133"/>
    </row>
    <row r="65" spans="6:54" ht="12" customHeight="1">
      <c r="F65" s="92" t="s">
        <v>128</v>
      </c>
      <c r="G65" s="92"/>
      <c r="H65" s="92" t="s">
        <v>227</v>
      </c>
      <c r="I65" s="92" t="s">
        <v>150</v>
      </c>
      <c r="J65" s="92" t="s">
        <v>150</v>
      </c>
      <c r="K65" s="92"/>
      <c r="L65" s="92" t="s">
        <v>227</v>
      </c>
      <c r="M65" s="92" t="s">
        <v>150</v>
      </c>
      <c r="N65" s="92" t="s">
        <v>150</v>
      </c>
      <c r="O65" s="92" t="s">
        <v>150</v>
      </c>
      <c r="P65" s="92" t="s">
        <v>150</v>
      </c>
      <c r="R65" s="92" t="s">
        <v>166</v>
      </c>
      <c r="S65" s="315">
        <v>200</v>
      </c>
      <c r="T65" s="315">
        <v>200</v>
      </c>
      <c r="U65" s="315">
        <v>200</v>
      </c>
      <c r="V65" s="315">
        <v>150</v>
      </c>
      <c r="W65" s="315">
        <v>150</v>
      </c>
      <c r="X65" s="92">
        <v>150</v>
      </c>
      <c r="Z65" s="92" t="s">
        <v>165</v>
      </c>
      <c r="AA65" s="92">
        <v>10</v>
      </c>
      <c r="AB65" s="92">
        <f t="shared" si="17"/>
        <v>0.2223</v>
      </c>
      <c r="AC65" s="68"/>
      <c r="AD65" s="92" t="s">
        <v>165</v>
      </c>
      <c r="AE65" s="92">
        <v>10</v>
      </c>
      <c r="AF65" s="97">
        <v>0.2223</v>
      </c>
      <c r="AG65" s="97">
        <v>0.3039</v>
      </c>
      <c r="AH65" s="97">
        <v>0.1855</v>
      </c>
      <c r="AI65" s="97">
        <v>0.1825</v>
      </c>
      <c r="AJ65" s="97">
        <v>0.1963</v>
      </c>
      <c r="AK65" s="97">
        <v>0.159</v>
      </c>
      <c r="AL65" s="97">
        <v>0.13519999999999999</v>
      </c>
      <c r="AN65" s="92" t="s">
        <v>161</v>
      </c>
      <c r="AO65" s="92">
        <v>6</v>
      </c>
      <c r="AP65" s="97">
        <f t="shared" si="18"/>
        <v>0.50800000000000001</v>
      </c>
      <c r="AQ65" s="97">
        <v>0.308</v>
      </c>
      <c r="AR65" s="97">
        <v>0.50800000000000001</v>
      </c>
      <c r="AS65" s="68"/>
      <c r="AT65" s="68"/>
      <c r="AU65" s="129">
        <v>3</v>
      </c>
      <c r="AV65" s="130">
        <v>1</v>
      </c>
      <c r="AW65" s="131" t="s">
        <v>188</v>
      </c>
      <c r="AX65" s="132">
        <f>AO$79</f>
        <v>0.20100000000000001</v>
      </c>
      <c r="AY65" s="130" t="s">
        <v>19</v>
      </c>
      <c r="AZ65" s="130">
        <f>IF(AO$59&gt;2,AV65/AX65,0)</f>
        <v>0</v>
      </c>
      <c r="BA65" s="130"/>
      <c r="BB65" s="133"/>
    </row>
    <row r="66" spans="6:54" ht="12" customHeight="1">
      <c r="F66" s="92" t="s">
        <v>4</v>
      </c>
      <c r="G66" s="92"/>
      <c r="H66" s="92" t="s">
        <v>228</v>
      </c>
      <c r="I66" s="92" t="s">
        <v>133</v>
      </c>
      <c r="J66" s="92" t="s">
        <v>157</v>
      </c>
      <c r="K66" s="92"/>
      <c r="L66" s="92" t="s">
        <v>228</v>
      </c>
      <c r="M66" s="92" t="s">
        <v>133</v>
      </c>
      <c r="N66" s="92" t="s">
        <v>157</v>
      </c>
      <c r="O66" s="92" t="s">
        <v>133</v>
      </c>
      <c r="P66" s="92" t="s">
        <v>157</v>
      </c>
      <c r="R66" s="92" t="s">
        <v>169</v>
      </c>
      <c r="S66" s="315">
        <v>225</v>
      </c>
      <c r="T66" s="315">
        <v>225</v>
      </c>
      <c r="U66" s="92">
        <v>225</v>
      </c>
      <c r="V66" s="315">
        <v>175</v>
      </c>
      <c r="W66" s="315">
        <v>175</v>
      </c>
      <c r="X66" s="92">
        <v>175</v>
      </c>
      <c r="Z66" s="92" t="s">
        <v>166</v>
      </c>
      <c r="AA66" s="92">
        <v>11</v>
      </c>
      <c r="AB66" s="92">
        <f t="shared" si="17"/>
        <v>0.26240000000000002</v>
      </c>
      <c r="AC66" s="68"/>
      <c r="AD66" s="92" t="s">
        <v>166</v>
      </c>
      <c r="AE66" s="92">
        <v>11</v>
      </c>
      <c r="AF66" s="97">
        <v>0.26240000000000002</v>
      </c>
      <c r="AG66" s="97">
        <v>0.35049999999999998</v>
      </c>
      <c r="AH66" s="97">
        <v>0.2223</v>
      </c>
      <c r="AI66" s="97">
        <v>0.219</v>
      </c>
      <c r="AJ66" s="97">
        <v>0.23319999999999999</v>
      </c>
      <c r="AK66" s="97">
        <v>0.19239999999999999</v>
      </c>
      <c r="AL66" s="97">
        <v>0.159</v>
      </c>
      <c r="AN66" s="92" t="str">
        <f>IF(AN28="AL",AN65,"#3")</f>
        <v>#3</v>
      </c>
      <c r="AO66" s="92">
        <f>IF(AN28="AL",AO65,7)</f>
        <v>7</v>
      </c>
      <c r="AP66" s="97">
        <f t="shared" si="18"/>
        <v>0.40300000000000002</v>
      </c>
      <c r="AQ66" s="97">
        <v>0.245</v>
      </c>
      <c r="AR66" s="97">
        <v>0.40300000000000002</v>
      </c>
      <c r="AS66" s="68"/>
      <c r="AT66" s="68"/>
      <c r="AU66" s="129">
        <v>4</v>
      </c>
      <c r="AV66" s="130">
        <v>1</v>
      </c>
      <c r="AW66" s="131" t="s">
        <v>188</v>
      </c>
      <c r="AX66" s="132">
        <f>AO$79</f>
        <v>0.20100000000000001</v>
      </c>
      <c r="AY66" s="130" t="s">
        <v>19</v>
      </c>
      <c r="AZ66" s="130">
        <f>IF(AO$59&gt;3,AV66/AX66,0)</f>
        <v>0</v>
      </c>
      <c r="BA66" s="130"/>
      <c r="BB66" s="133"/>
    </row>
    <row r="67" spans="6:54" ht="14.1" customHeight="1">
      <c r="F67" s="88">
        <v>0</v>
      </c>
      <c r="G67" s="88"/>
      <c r="H67" s="88">
        <v>60</v>
      </c>
      <c r="I67" s="88" t="str">
        <f t="shared" ref="I67:I76" si="19">IF($G$62="CU",M67,IF($G$62="AL",O67,"ERR"))</f>
        <v>#8</v>
      </c>
      <c r="J67" s="88">
        <f t="shared" ref="J67:J76" si="20">IF($G$62="CU",N67,IF($G$62="AL",P67,"ERR"))</f>
        <v>4</v>
      </c>
      <c r="K67" s="88"/>
      <c r="L67" s="88">
        <v>60</v>
      </c>
      <c r="M67" s="88" t="s">
        <v>214</v>
      </c>
      <c r="N67" s="88">
        <v>3</v>
      </c>
      <c r="O67" s="88" t="s">
        <v>217</v>
      </c>
      <c r="P67" s="88">
        <v>4</v>
      </c>
      <c r="R67" s="92" t="s">
        <v>170</v>
      </c>
      <c r="S67" s="315">
        <v>250</v>
      </c>
      <c r="T67" s="315">
        <v>250</v>
      </c>
      <c r="U67" s="92">
        <v>260</v>
      </c>
      <c r="V67" s="315">
        <v>200</v>
      </c>
      <c r="W67" s="315">
        <v>200</v>
      </c>
      <c r="X67" s="92">
        <v>205</v>
      </c>
      <c r="Z67" s="92" t="s">
        <v>169</v>
      </c>
      <c r="AA67" s="92">
        <v>12</v>
      </c>
      <c r="AB67" s="92">
        <f t="shared" si="17"/>
        <v>0.31169999999999998</v>
      </c>
      <c r="AC67" s="68"/>
      <c r="AD67" s="92" t="s">
        <v>169</v>
      </c>
      <c r="AE67" s="92">
        <v>12</v>
      </c>
      <c r="AF67" s="97">
        <v>0.31169999999999998</v>
      </c>
      <c r="AG67" s="97">
        <v>0.40720000000000001</v>
      </c>
      <c r="AH67" s="97">
        <v>0.26790000000000003</v>
      </c>
      <c r="AI67" s="97">
        <v>0.26419999999999999</v>
      </c>
      <c r="AJ67" s="97">
        <v>0.27329999999999999</v>
      </c>
      <c r="AK67" s="97">
        <v>0.22900000000000001</v>
      </c>
      <c r="AL67" s="97">
        <v>0.1885</v>
      </c>
      <c r="AN67" s="92" t="s">
        <v>162</v>
      </c>
      <c r="AO67" s="92">
        <v>8</v>
      </c>
      <c r="AP67" s="97">
        <f t="shared" si="18"/>
        <v>0.31900000000000001</v>
      </c>
      <c r="AQ67" s="97">
        <v>0.19400000000000001</v>
      </c>
      <c r="AR67" s="97">
        <v>0.31900000000000001</v>
      </c>
      <c r="AS67" s="68"/>
      <c r="AT67" s="68"/>
      <c r="AU67" s="129">
        <v>5</v>
      </c>
      <c r="AV67" s="130">
        <v>1</v>
      </c>
      <c r="AW67" s="131" t="s">
        <v>188</v>
      </c>
      <c r="AX67" s="132">
        <f>AO$79</f>
        <v>0.20100000000000001</v>
      </c>
      <c r="AY67" s="130" t="s">
        <v>19</v>
      </c>
      <c r="AZ67" s="130">
        <f>IF(AO$59&gt;4,AV67/AX67,0)</f>
        <v>0</v>
      </c>
      <c r="BA67" s="130"/>
      <c r="BB67" s="133"/>
    </row>
    <row r="68" spans="6:54" ht="14.1" customHeight="1">
      <c r="F68" s="92">
        <f t="shared" ref="F68:F76" si="21">H67+0.00001</f>
        <v>60.000010000000003</v>
      </c>
      <c r="G68" s="92"/>
      <c r="H68" s="92">
        <v>100</v>
      </c>
      <c r="I68" s="92" t="str">
        <f t="shared" si="19"/>
        <v>#6</v>
      </c>
      <c r="J68" s="92">
        <f t="shared" si="20"/>
        <v>5</v>
      </c>
      <c r="K68" s="92"/>
      <c r="L68" s="92">
        <v>100</v>
      </c>
      <c r="M68" s="92" t="s">
        <v>217</v>
      </c>
      <c r="N68" s="92">
        <v>4</v>
      </c>
      <c r="O68" s="92" t="s">
        <v>158</v>
      </c>
      <c r="P68" s="92">
        <v>5</v>
      </c>
      <c r="R68" s="92" t="s">
        <v>172</v>
      </c>
      <c r="S68" s="315">
        <v>300</v>
      </c>
      <c r="T68" s="315">
        <v>300</v>
      </c>
      <c r="U68" s="315">
        <v>300</v>
      </c>
      <c r="V68" s="315">
        <v>225</v>
      </c>
      <c r="W68" s="315">
        <v>225</v>
      </c>
      <c r="X68" s="92">
        <v>230</v>
      </c>
      <c r="Z68" s="92" t="s">
        <v>170</v>
      </c>
      <c r="AA68" s="92">
        <v>13</v>
      </c>
      <c r="AB68" s="92">
        <f t="shared" si="17"/>
        <v>0.37180000000000002</v>
      </c>
      <c r="AC68" s="68"/>
      <c r="AD68" s="92" t="s">
        <v>170</v>
      </c>
      <c r="AE68" s="92">
        <v>13</v>
      </c>
      <c r="AF68" s="97">
        <v>0.37180000000000002</v>
      </c>
      <c r="AG68" s="97">
        <v>0.47539999999999999</v>
      </c>
      <c r="AH68" s="97">
        <v>0.32369999999999999</v>
      </c>
      <c r="AI68" s="97">
        <v>0.31969999999999998</v>
      </c>
      <c r="AJ68" s="97">
        <v>0.32669999999999999</v>
      </c>
      <c r="AK68" s="97">
        <v>0.27800000000000002</v>
      </c>
      <c r="AL68" s="97">
        <v>0.22900000000000001</v>
      </c>
      <c r="AN68" s="92" t="s">
        <v>164</v>
      </c>
      <c r="AO68" s="92">
        <v>9</v>
      </c>
      <c r="AP68" s="97">
        <f t="shared" si="18"/>
        <v>0.253</v>
      </c>
      <c r="AQ68" s="97">
        <v>0.154</v>
      </c>
      <c r="AR68" s="97">
        <v>0.253</v>
      </c>
      <c r="AS68" s="68"/>
      <c r="AT68" s="68"/>
      <c r="AU68" s="129">
        <v>6</v>
      </c>
      <c r="AV68" s="130">
        <v>1</v>
      </c>
      <c r="AW68" s="131" t="s">
        <v>188</v>
      </c>
      <c r="AX68" s="132">
        <f>AO$79</f>
        <v>0.20100000000000001</v>
      </c>
      <c r="AY68" s="130" t="s">
        <v>19</v>
      </c>
      <c r="AZ68" s="130">
        <f>IF(AO$59&gt;5,AV68/AX68,0)</f>
        <v>0</v>
      </c>
      <c r="BA68" s="130"/>
      <c r="BB68" s="133"/>
    </row>
    <row r="69" spans="6:54" ht="14.1" customHeight="1">
      <c r="F69" s="92">
        <f t="shared" si="21"/>
        <v>100.00001</v>
      </c>
      <c r="G69" s="92"/>
      <c r="H69" s="92">
        <v>200</v>
      </c>
      <c r="I69" s="92" t="str">
        <f t="shared" si="19"/>
        <v>#4</v>
      </c>
      <c r="J69" s="92">
        <f t="shared" si="20"/>
        <v>6</v>
      </c>
      <c r="K69" s="92"/>
      <c r="L69" s="92">
        <v>200</v>
      </c>
      <c r="M69" s="92" t="s">
        <v>158</v>
      </c>
      <c r="N69" s="92">
        <v>5</v>
      </c>
      <c r="O69" s="92" t="s">
        <v>161</v>
      </c>
      <c r="P69" s="92">
        <v>6</v>
      </c>
      <c r="R69" s="92" t="s">
        <v>173</v>
      </c>
      <c r="S69" s="92">
        <v>300</v>
      </c>
      <c r="T69" s="92">
        <v>300</v>
      </c>
      <c r="U69" s="92">
        <v>320</v>
      </c>
      <c r="V69" s="315">
        <v>250</v>
      </c>
      <c r="W69" s="315">
        <v>250</v>
      </c>
      <c r="X69" s="92">
        <v>255</v>
      </c>
      <c r="Z69" s="92" t="s">
        <v>172</v>
      </c>
      <c r="AA69" s="92">
        <v>14</v>
      </c>
      <c r="AB69" s="92">
        <f t="shared" si="17"/>
        <v>0.45960000000000001</v>
      </c>
      <c r="AC69" s="68"/>
      <c r="AD69" s="92" t="s">
        <v>172</v>
      </c>
      <c r="AE69" s="92">
        <v>14</v>
      </c>
      <c r="AF69" s="97">
        <v>0.45960000000000001</v>
      </c>
      <c r="AG69" s="97">
        <v>0.62909999999999999</v>
      </c>
      <c r="AH69" s="97">
        <v>0.39700000000000002</v>
      </c>
      <c r="AI69" s="97">
        <v>0.39040000000000002</v>
      </c>
      <c r="AJ69" s="97">
        <v>0.4128</v>
      </c>
      <c r="AK69" s="97">
        <v>0.35249999999999998</v>
      </c>
      <c r="AL69" s="97">
        <v>0.27329999999999999</v>
      </c>
      <c r="AN69" s="92" t="s">
        <v>165</v>
      </c>
      <c r="AO69" s="92">
        <v>10</v>
      </c>
      <c r="AP69" s="97">
        <f t="shared" si="18"/>
        <v>0.20100000000000001</v>
      </c>
      <c r="AQ69" s="97">
        <v>0.122</v>
      </c>
      <c r="AR69" s="97">
        <v>0.20100000000000001</v>
      </c>
      <c r="AS69" s="68"/>
      <c r="AT69" s="68"/>
      <c r="AU69" s="136"/>
      <c r="AV69" s="130"/>
      <c r="AW69" s="137"/>
      <c r="AX69" s="132"/>
      <c r="AY69" s="130"/>
      <c r="AZ69" s="130"/>
      <c r="BA69" s="130"/>
      <c r="BB69" s="133"/>
    </row>
    <row r="70" spans="6:54" ht="14.1" customHeight="1">
      <c r="F70" s="92">
        <f t="shared" si="21"/>
        <v>200.00001</v>
      </c>
      <c r="G70" s="92"/>
      <c r="H70" s="92">
        <v>300</v>
      </c>
      <c r="I70" s="92" t="str">
        <f t="shared" si="19"/>
        <v>#2</v>
      </c>
      <c r="J70" s="92">
        <f t="shared" si="20"/>
        <v>8</v>
      </c>
      <c r="K70" s="92"/>
      <c r="L70" s="92">
        <v>300</v>
      </c>
      <c r="M70" s="92" t="s">
        <v>161</v>
      </c>
      <c r="N70" s="92">
        <v>6</v>
      </c>
      <c r="O70" s="92" t="s">
        <v>162</v>
      </c>
      <c r="P70" s="92">
        <v>8</v>
      </c>
      <c r="R70" s="92" t="s">
        <v>175</v>
      </c>
      <c r="S70" s="315">
        <v>350</v>
      </c>
      <c r="T70" s="315">
        <v>350</v>
      </c>
      <c r="U70" s="92">
        <v>350</v>
      </c>
      <c r="V70" s="315">
        <v>300</v>
      </c>
      <c r="W70" s="315">
        <v>300</v>
      </c>
      <c r="X70" s="315">
        <v>300</v>
      </c>
      <c r="Z70" s="92" t="s">
        <v>173</v>
      </c>
      <c r="AA70" s="92">
        <v>15</v>
      </c>
      <c r="AB70" s="92">
        <f t="shared" si="17"/>
        <v>0.52810000000000001</v>
      </c>
      <c r="AC70" s="68"/>
      <c r="AD70" s="92" t="s">
        <v>173</v>
      </c>
      <c r="AE70" s="92">
        <v>15</v>
      </c>
      <c r="AF70" s="97">
        <v>0.52810000000000001</v>
      </c>
      <c r="AG70" s="97">
        <v>0.70879999999999999</v>
      </c>
      <c r="AH70" s="97">
        <v>0.46079999999999999</v>
      </c>
      <c r="AI70" s="97">
        <v>0.4536</v>
      </c>
      <c r="AJ70" s="97">
        <v>0.47170000000000001</v>
      </c>
      <c r="AK70" s="97">
        <v>0.40710000000000002</v>
      </c>
      <c r="AL70" s="97">
        <v>0.34210000000000002</v>
      </c>
      <c r="AN70" s="92" t="s">
        <v>166</v>
      </c>
      <c r="AO70" s="92">
        <v>11</v>
      </c>
      <c r="AP70" s="97">
        <f t="shared" si="18"/>
        <v>0.159</v>
      </c>
      <c r="AQ70" s="97">
        <v>9.6699999999999994E-2</v>
      </c>
      <c r="AR70" s="97">
        <v>0.159</v>
      </c>
      <c r="AS70" s="68"/>
      <c r="AT70" s="68"/>
      <c r="AU70" s="138" t="s">
        <v>195</v>
      </c>
      <c r="AV70" s="139"/>
      <c r="AW70" s="140"/>
      <c r="AX70" s="130">
        <v>1</v>
      </c>
      <c r="AY70" s="130" t="s">
        <v>188</v>
      </c>
      <c r="AZ70" s="130">
        <f>SUM(AZ63:AZ68)</f>
        <v>0</v>
      </c>
      <c r="BA70" s="130" t="s">
        <v>19</v>
      </c>
      <c r="BB70" s="133">
        <f>IF(AO$59=1,0,AX70/AZ70)</f>
        <v>0</v>
      </c>
    </row>
    <row r="71" spans="6:54" ht="14.1" customHeight="1">
      <c r="F71" s="92">
        <f t="shared" si="21"/>
        <v>300.00000999999997</v>
      </c>
      <c r="G71" s="92"/>
      <c r="H71" s="92">
        <v>400</v>
      </c>
      <c r="I71" s="92" t="str">
        <f t="shared" si="19"/>
        <v>#1</v>
      </c>
      <c r="J71" s="92">
        <f t="shared" si="20"/>
        <v>9</v>
      </c>
      <c r="K71" s="92"/>
      <c r="L71" s="92">
        <v>400</v>
      </c>
      <c r="M71" s="92" t="s">
        <v>163</v>
      </c>
      <c r="N71" s="92">
        <v>7</v>
      </c>
      <c r="O71" s="92" t="s">
        <v>164</v>
      </c>
      <c r="P71" s="92">
        <v>9</v>
      </c>
      <c r="R71" s="92" t="s">
        <v>176</v>
      </c>
      <c r="S71" s="315">
        <v>400</v>
      </c>
      <c r="T71" s="315">
        <v>400</v>
      </c>
      <c r="U71" s="315">
        <v>400</v>
      </c>
      <c r="V71" s="92">
        <v>300</v>
      </c>
      <c r="W71" s="92">
        <v>300</v>
      </c>
      <c r="X71" s="92">
        <v>305</v>
      </c>
      <c r="Z71" s="92" t="s">
        <v>175</v>
      </c>
      <c r="AA71" s="92">
        <v>16</v>
      </c>
      <c r="AB71" s="92">
        <f t="shared" si="17"/>
        <v>0.5958</v>
      </c>
      <c r="AC71" s="68"/>
      <c r="AD71" s="92" t="s">
        <v>175</v>
      </c>
      <c r="AE71" s="92">
        <v>16</v>
      </c>
      <c r="AF71" s="97">
        <v>0.5958</v>
      </c>
      <c r="AG71" s="97">
        <v>0.78700000000000003</v>
      </c>
      <c r="AH71" s="97">
        <v>0.5242</v>
      </c>
      <c r="AI71" s="97">
        <v>0.51659999999999995</v>
      </c>
      <c r="AJ71" s="97">
        <v>0.52810000000000001</v>
      </c>
      <c r="AK71" s="97">
        <v>0.46560000000000001</v>
      </c>
      <c r="AL71" s="97">
        <v>0.40150000000000002</v>
      </c>
      <c r="AN71" s="92" t="s">
        <v>169</v>
      </c>
      <c r="AO71" s="92">
        <v>12</v>
      </c>
      <c r="AP71" s="97">
        <f t="shared" si="18"/>
        <v>0.126</v>
      </c>
      <c r="AQ71" s="97">
        <v>7.6600000000000001E-2</v>
      </c>
      <c r="AR71" s="97">
        <v>0.126</v>
      </c>
      <c r="AS71" s="68"/>
      <c r="AT71" s="68"/>
      <c r="AU71" s="142"/>
      <c r="AV71" s="140"/>
      <c r="AW71" s="140"/>
      <c r="AX71" s="143"/>
      <c r="AY71" s="143"/>
      <c r="AZ71" s="143"/>
      <c r="BA71" s="143"/>
      <c r="BB71" s="144"/>
    </row>
    <row r="72" spans="6:54" ht="14.1" customHeight="1">
      <c r="F72" s="92">
        <f t="shared" si="21"/>
        <v>400.00000999999997</v>
      </c>
      <c r="G72" s="92"/>
      <c r="H72" s="92">
        <v>500</v>
      </c>
      <c r="I72" s="92" t="str">
        <f t="shared" si="19"/>
        <v>#1/0</v>
      </c>
      <c r="J72" s="92">
        <f t="shared" si="20"/>
        <v>10</v>
      </c>
      <c r="K72" s="92"/>
      <c r="L72" s="92">
        <v>500</v>
      </c>
      <c r="M72" s="92" t="s">
        <v>162</v>
      </c>
      <c r="N72" s="92">
        <v>8</v>
      </c>
      <c r="O72" s="92" t="s">
        <v>165</v>
      </c>
      <c r="P72" s="92">
        <v>10</v>
      </c>
      <c r="R72" s="99" t="s">
        <v>177</v>
      </c>
      <c r="S72" s="99">
        <v>400</v>
      </c>
      <c r="T72" s="99">
        <v>400</v>
      </c>
      <c r="U72" s="99">
        <v>430</v>
      </c>
      <c r="V72" s="316">
        <v>350</v>
      </c>
      <c r="W72" s="316">
        <v>350</v>
      </c>
      <c r="X72" s="99">
        <v>350</v>
      </c>
      <c r="Z72" s="92" t="s">
        <v>176</v>
      </c>
      <c r="AA72" s="92">
        <v>17</v>
      </c>
      <c r="AB72" s="92">
        <f t="shared" si="17"/>
        <v>0.66190000000000004</v>
      </c>
      <c r="AC72" s="68"/>
      <c r="AD72" s="92" t="s">
        <v>176</v>
      </c>
      <c r="AE72" s="92">
        <v>17</v>
      </c>
      <c r="AF72" s="97">
        <v>0.66190000000000004</v>
      </c>
      <c r="AG72" s="97">
        <v>0.86260000000000003</v>
      </c>
      <c r="AH72" s="97">
        <v>0.58630000000000004</v>
      </c>
      <c r="AI72" s="97">
        <v>0.57820000000000005</v>
      </c>
      <c r="AJ72" s="97">
        <v>0.58760000000000001</v>
      </c>
      <c r="AK72" s="97">
        <v>0.52159999999999995</v>
      </c>
      <c r="AL72" s="97">
        <v>0.4536</v>
      </c>
      <c r="AN72" s="92" t="s">
        <v>170</v>
      </c>
      <c r="AO72" s="92">
        <v>13</v>
      </c>
      <c r="AP72" s="97">
        <f t="shared" si="18"/>
        <v>0.1</v>
      </c>
      <c r="AQ72" s="97">
        <v>6.08E-2</v>
      </c>
      <c r="AR72" s="97">
        <v>0.1</v>
      </c>
      <c r="AS72" s="68"/>
      <c r="AT72" s="68"/>
      <c r="AU72" s="138" t="s">
        <v>209</v>
      </c>
      <c r="AV72" s="139"/>
      <c r="AW72" s="140"/>
      <c r="AX72" s="143"/>
      <c r="AY72" s="143"/>
      <c r="AZ72" s="143"/>
      <c r="BA72" s="143"/>
      <c r="BB72" s="145">
        <f>IF($AO$59&gt;1,0,$AO$79)</f>
        <v>0.20100000000000001</v>
      </c>
    </row>
    <row r="73" spans="6:54" ht="14.1" customHeight="1">
      <c r="F73" s="92">
        <f t="shared" si="21"/>
        <v>500.00000999999997</v>
      </c>
      <c r="G73" s="92"/>
      <c r="H73" s="92">
        <v>600</v>
      </c>
      <c r="I73" s="92" t="str">
        <f t="shared" si="19"/>
        <v>#2/0</v>
      </c>
      <c r="J73" s="92">
        <f t="shared" si="20"/>
        <v>11</v>
      </c>
      <c r="K73" s="92"/>
      <c r="L73" s="92">
        <v>600</v>
      </c>
      <c r="M73" s="92" t="s">
        <v>164</v>
      </c>
      <c r="N73" s="92">
        <v>9</v>
      </c>
      <c r="O73" s="92" t="s">
        <v>166</v>
      </c>
      <c r="P73" s="92">
        <v>11</v>
      </c>
      <c r="R73" s="68"/>
      <c r="Z73" s="99" t="s">
        <v>177</v>
      </c>
      <c r="AA73" s="99">
        <v>18</v>
      </c>
      <c r="AB73" s="99">
        <f t="shared" si="17"/>
        <v>0.79010000000000002</v>
      </c>
      <c r="AC73" s="68"/>
      <c r="AD73" s="99" t="s">
        <v>177</v>
      </c>
      <c r="AE73" s="99">
        <v>18</v>
      </c>
      <c r="AF73" s="102">
        <v>0.79010000000000002</v>
      </c>
      <c r="AG73" s="102">
        <v>1.0082</v>
      </c>
      <c r="AH73" s="102">
        <v>0.70730000000000004</v>
      </c>
      <c r="AI73" s="102">
        <v>0.69840000000000002</v>
      </c>
      <c r="AJ73" s="102">
        <v>0.69389999999999996</v>
      </c>
      <c r="AK73" s="102">
        <v>0.61509999999999998</v>
      </c>
      <c r="AL73" s="102">
        <v>0.50260000000000005</v>
      </c>
      <c r="AN73" s="92" t="s">
        <v>172</v>
      </c>
      <c r="AO73" s="92">
        <v>14</v>
      </c>
      <c r="AP73" s="97">
        <f t="shared" si="18"/>
        <v>8.4699999999999998E-2</v>
      </c>
      <c r="AQ73" s="97">
        <v>5.1499999999999997E-2</v>
      </c>
      <c r="AR73" s="97">
        <v>8.4699999999999998E-2</v>
      </c>
      <c r="AS73" s="68"/>
      <c r="AT73" s="68"/>
      <c r="AU73" s="147"/>
      <c r="AV73" s="148"/>
      <c r="AW73" s="148"/>
      <c r="AX73" s="149"/>
      <c r="AY73" s="149"/>
      <c r="AZ73" s="149"/>
      <c r="BA73" s="149"/>
      <c r="BB73" s="150"/>
    </row>
    <row r="74" spans="6:54" ht="14.1" customHeight="1">
      <c r="F74" s="92">
        <f t="shared" si="21"/>
        <v>600.00000999999997</v>
      </c>
      <c r="G74" s="92"/>
      <c r="H74" s="92">
        <v>800</v>
      </c>
      <c r="I74" s="92" t="str">
        <f t="shared" si="19"/>
        <v>#3/0</v>
      </c>
      <c r="J74" s="92">
        <f t="shared" si="20"/>
        <v>12</v>
      </c>
      <c r="K74" s="92"/>
      <c r="L74" s="92">
        <v>800</v>
      </c>
      <c r="M74" s="92" t="s">
        <v>165</v>
      </c>
      <c r="N74" s="92">
        <v>10</v>
      </c>
      <c r="O74" s="92" t="s">
        <v>169</v>
      </c>
      <c r="P74" s="92">
        <v>12</v>
      </c>
      <c r="R74" s="68"/>
      <c r="Z74" s="68"/>
      <c r="AA74" s="68"/>
      <c r="AB74" s="86"/>
      <c r="AC74" s="68"/>
      <c r="AD74" s="86"/>
      <c r="AE74" s="68"/>
      <c r="AF74" s="68"/>
      <c r="AG74" s="68"/>
      <c r="AH74" s="68"/>
      <c r="AI74" s="68"/>
      <c r="AJ74" s="68"/>
      <c r="AK74" s="68"/>
      <c r="AL74" s="68"/>
      <c r="AN74" s="92" t="s">
        <v>173</v>
      </c>
      <c r="AO74" s="92">
        <v>15</v>
      </c>
      <c r="AP74" s="97">
        <f t="shared" si="18"/>
        <v>7.0699999999999999E-2</v>
      </c>
      <c r="AQ74" s="97">
        <v>4.2900000000000001E-2</v>
      </c>
      <c r="AR74" s="97">
        <v>7.0699999999999999E-2</v>
      </c>
      <c r="AS74" s="68"/>
      <c r="AT74" s="68"/>
      <c r="AU74" s="152" t="s">
        <v>213</v>
      </c>
      <c r="AV74" s="153"/>
      <c r="AW74" s="153"/>
      <c r="AX74" s="154"/>
      <c r="AY74" s="154"/>
      <c r="AZ74" s="154"/>
      <c r="BA74" s="154"/>
      <c r="BB74" s="155">
        <f>ROUND(MAX(BB70:BB72),4)</f>
        <v>0.20100000000000001</v>
      </c>
    </row>
    <row r="75" spans="6:54" ht="14.1" customHeight="1">
      <c r="F75" s="92">
        <f t="shared" si="21"/>
        <v>800.00000999999997</v>
      </c>
      <c r="G75" s="92"/>
      <c r="H75" s="92">
        <v>1000</v>
      </c>
      <c r="I75" s="92" t="str">
        <f t="shared" si="19"/>
        <v>#4/0</v>
      </c>
      <c r="J75" s="92">
        <f t="shared" si="20"/>
        <v>13</v>
      </c>
      <c r="K75" s="92"/>
      <c r="L75" s="92">
        <v>1000</v>
      </c>
      <c r="M75" s="92" t="s">
        <v>166</v>
      </c>
      <c r="N75" s="92">
        <v>11</v>
      </c>
      <c r="O75" s="92" t="s">
        <v>170</v>
      </c>
      <c r="P75" s="92">
        <v>13</v>
      </c>
      <c r="R75" s="68"/>
      <c r="Z75" s="104" t="s">
        <v>229</v>
      </c>
      <c r="AA75" s="134">
        <f>VLOOKUP(AA45,AA58:AB73,1)</f>
        <v>10</v>
      </c>
      <c r="AB75" s="134"/>
      <c r="AC75" s="134" t="s">
        <v>230</v>
      </c>
      <c r="AD75" s="134" t="s">
        <v>9</v>
      </c>
      <c r="AE75" s="134" t="s">
        <v>231</v>
      </c>
      <c r="AF75" s="134" t="s">
        <v>174</v>
      </c>
      <c r="AG75" s="134"/>
      <c r="AH75" s="134"/>
      <c r="AI75" s="134"/>
      <c r="AJ75" s="105"/>
      <c r="AK75" s="68"/>
      <c r="AL75" s="68"/>
      <c r="AN75" s="92" t="s">
        <v>175</v>
      </c>
      <c r="AO75" s="92">
        <v>16</v>
      </c>
      <c r="AP75" s="97">
        <f t="shared" si="18"/>
        <v>6.0499999999999998E-2</v>
      </c>
      <c r="AQ75" s="97">
        <v>3.6700000000000003E-2</v>
      </c>
      <c r="AR75" s="97">
        <v>6.0499999999999998E-2</v>
      </c>
      <c r="AS75" s="68"/>
      <c r="AT75" s="68"/>
      <c r="AU75" s="68"/>
      <c r="AV75" s="68"/>
      <c r="AW75" s="68"/>
    </row>
    <row r="76" spans="6:54" ht="14.1" customHeight="1">
      <c r="F76" s="99">
        <f t="shared" si="21"/>
        <v>1000.00001</v>
      </c>
      <c r="G76" s="99"/>
      <c r="H76" s="99">
        <v>1200</v>
      </c>
      <c r="I76" s="99" t="str">
        <f t="shared" si="19"/>
        <v>#250</v>
      </c>
      <c r="J76" s="99">
        <f t="shared" si="20"/>
        <v>14</v>
      </c>
      <c r="K76" s="99"/>
      <c r="L76" s="99">
        <v>1200</v>
      </c>
      <c r="M76" s="99" t="s">
        <v>169</v>
      </c>
      <c r="N76" s="99">
        <v>12</v>
      </c>
      <c r="O76" s="99" t="s">
        <v>172</v>
      </c>
      <c r="P76" s="99">
        <v>14</v>
      </c>
      <c r="R76" s="68"/>
      <c r="Z76" s="159" t="s">
        <v>232</v>
      </c>
      <c r="AA76" s="86">
        <f>VLOOKUP(AA45,AA58:AB73,2)</f>
        <v>0.2223</v>
      </c>
      <c r="AB76" s="86" t="s">
        <v>15</v>
      </c>
      <c r="AC76" s="86">
        <f>IF(Input!J9=1,2,3)</f>
        <v>2</v>
      </c>
      <c r="AD76" s="86"/>
      <c r="AE76" s="86"/>
      <c r="AF76" s="86">
        <f>SUM(AC76:AE76)</f>
        <v>2</v>
      </c>
      <c r="AG76" s="86" t="s">
        <v>19</v>
      </c>
      <c r="AH76" s="86">
        <f>AA76*AF76</f>
        <v>0.4446</v>
      </c>
      <c r="AI76" s="86">
        <f>AA76</f>
        <v>0.2223</v>
      </c>
      <c r="AJ76" s="116">
        <f>IF(MAX(AI$76:AI$82)=AI76,0,1)</f>
        <v>0</v>
      </c>
      <c r="AK76" s="68">
        <v>1</v>
      </c>
      <c r="AL76" s="68" t="str">
        <f>VLOOKUP(AA45,AA58:AD73,4)</f>
        <v>#1/0</v>
      </c>
      <c r="AN76" s="92" t="s">
        <v>176</v>
      </c>
      <c r="AO76" s="92">
        <v>17</v>
      </c>
      <c r="AP76" s="97">
        <f t="shared" si="18"/>
        <v>5.2900000000000003E-2</v>
      </c>
      <c r="AQ76" s="97">
        <v>3.2099999999999997E-2</v>
      </c>
      <c r="AR76" s="97">
        <v>5.2900000000000003E-2</v>
      </c>
      <c r="AS76" s="68"/>
      <c r="AT76" s="68"/>
      <c r="AU76" s="68"/>
      <c r="AV76" s="68"/>
      <c r="AW76" s="68"/>
    </row>
    <row r="77" spans="6:54" ht="14.1" customHeight="1">
      <c r="F77" s="114" t="s">
        <v>144</v>
      </c>
      <c r="G77" s="134" t="s">
        <v>144</v>
      </c>
      <c r="H77" s="134" t="s">
        <v>144</v>
      </c>
      <c r="I77" s="105" t="s">
        <v>144</v>
      </c>
      <c r="J77" s="68"/>
      <c r="K77" s="68"/>
      <c r="L77" s="68"/>
      <c r="M77" s="68"/>
      <c r="N77" s="68"/>
      <c r="O77" s="68"/>
      <c r="P77" s="68"/>
      <c r="R77" s="68"/>
      <c r="Z77" s="159" t="s">
        <v>233</v>
      </c>
      <c r="AA77" s="86">
        <f>H55</f>
        <v>10</v>
      </c>
      <c r="AB77" s="86"/>
      <c r="AC77" s="86"/>
      <c r="AD77" s="86"/>
      <c r="AE77" s="86"/>
      <c r="AF77" s="86"/>
      <c r="AG77" s="86"/>
      <c r="AH77" s="86"/>
      <c r="AI77" s="86"/>
      <c r="AJ77" s="116"/>
      <c r="AK77" s="68"/>
      <c r="AL77" s="68"/>
      <c r="AN77" s="99" t="s">
        <v>177</v>
      </c>
      <c r="AO77" s="99">
        <v>18</v>
      </c>
      <c r="AP77" s="102">
        <f t="shared" si="18"/>
        <v>4.24E-2</v>
      </c>
      <c r="AQ77" s="102">
        <v>2.58E-2</v>
      </c>
      <c r="AR77" s="102">
        <v>4.24E-2</v>
      </c>
      <c r="AS77" s="68"/>
      <c r="AT77" s="68"/>
      <c r="AU77" s="68"/>
      <c r="AV77" s="68"/>
      <c r="AW77" s="68"/>
    </row>
    <row r="78" spans="6:54" ht="14.1" customHeight="1">
      <c r="F78" s="115" t="s">
        <v>128</v>
      </c>
      <c r="G78" s="86" t="s">
        <v>150</v>
      </c>
      <c r="H78" s="86" t="s">
        <v>150</v>
      </c>
      <c r="I78" s="116" t="s">
        <v>150</v>
      </c>
      <c r="J78" s="68"/>
      <c r="K78" s="68"/>
      <c r="L78" s="68"/>
      <c r="M78" s="68"/>
      <c r="N78" s="68"/>
      <c r="O78" s="68"/>
      <c r="P78" s="68"/>
      <c r="R78" s="68"/>
      <c r="Z78" s="159" t="s">
        <v>234</v>
      </c>
      <c r="AA78" s="86">
        <f>VLOOKUP(AA77,AA58:AB73,2)</f>
        <v>0.2223</v>
      </c>
      <c r="AB78" s="86" t="s">
        <v>15</v>
      </c>
      <c r="AC78" s="86"/>
      <c r="AD78" s="86">
        <f>IF(Input!J9=1,0,1)</f>
        <v>0</v>
      </c>
      <c r="AE78" s="86"/>
      <c r="AF78" s="86">
        <v>0</v>
      </c>
      <c r="AG78" s="86" t="s">
        <v>19</v>
      </c>
      <c r="AH78" s="86">
        <f>AA78*AF78</f>
        <v>0</v>
      </c>
      <c r="AI78" s="86">
        <f>AA78</f>
        <v>0.2223</v>
      </c>
      <c r="AJ78" s="116">
        <f>IF(MAX(AI$76:AI$82)=AI78,0,1)</f>
        <v>0</v>
      </c>
      <c r="AK78" s="68">
        <v>3</v>
      </c>
      <c r="AL78" s="68" t="str">
        <f>VLOOKUP(AA77,AA58:AD73,4)</f>
        <v>#1/0</v>
      </c>
      <c r="AN78" s="79" t="s">
        <v>219</v>
      </c>
      <c r="AO78" s="68">
        <f>VLOOKUP(AO60,AO61:AP77,1)</f>
        <v>10</v>
      </c>
      <c r="AP78" s="68">
        <f>VLOOKUP(AP60,AO61:AP77,1)</f>
        <v>10</v>
      </c>
      <c r="AQ78" s="68">
        <f>VLOOKUP(AQ60,AO61:AP77,1)</f>
        <v>10</v>
      </c>
      <c r="AR78" s="68">
        <f>VLOOKUP(AR60,AO61:AP77,1)</f>
        <v>10</v>
      </c>
      <c r="AS78" s="68"/>
      <c r="AT78" s="68"/>
      <c r="AU78" s="68"/>
      <c r="AV78" s="68"/>
      <c r="AW78" s="68"/>
      <c r="AX78" s="68"/>
      <c r="AY78" s="68"/>
      <c r="AZ78" s="68"/>
    </row>
    <row r="79" spans="6:54" ht="14.1" customHeight="1">
      <c r="F79" s="115" t="s">
        <v>121</v>
      </c>
      <c r="G79" s="86" t="s">
        <v>133</v>
      </c>
      <c r="H79" s="86" t="s">
        <v>133</v>
      </c>
      <c r="I79" s="116" t="s">
        <v>155</v>
      </c>
      <c r="J79" s="68"/>
      <c r="K79" s="68"/>
      <c r="L79" s="68"/>
      <c r="M79" s="68"/>
      <c r="N79" s="68"/>
      <c r="O79" s="68"/>
      <c r="P79" s="68"/>
      <c r="R79" s="68"/>
      <c r="Z79" s="159" t="s">
        <v>235</v>
      </c>
      <c r="AA79" s="86">
        <f>H56</f>
        <v>5</v>
      </c>
      <c r="AB79" s="86"/>
      <c r="AC79" s="86"/>
      <c r="AD79" s="86"/>
      <c r="AE79" s="86"/>
      <c r="AF79" s="86"/>
      <c r="AG79" s="86"/>
      <c r="AH79" s="86"/>
      <c r="AI79" s="86"/>
      <c r="AJ79" s="116"/>
      <c r="AK79" s="68"/>
      <c r="AL79" s="68"/>
      <c r="AN79" s="79" t="s">
        <v>236</v>
      </c>
      <c r="AO79" s="160">
        <f>VLOOKUP(AO60,AO61:AP77,2)</f>
        <v>0.20100000000000001</v>
      </c>
      <c r="AP79" s="161">
        <f>VLOOKUP(AP60,AO61:AP77,2)</f>
        <v>0.20100000000000001</v>
      </c>
      <c r="AQ79" s="162">
        <f>VLOOKUP(AQ60,AO61:AP77,2)</f>
        <v>0.20100000000000001</v>
      </c>
      <c r="AR79" s="68">
        <f>VLOOKUP(AR60,AO61:AP77,2)</f>
        <v>0.20100000000000001</v>
      </c>
      <c r="AS79" s="68"/>
      <c r="AT79" s="68"/>
      <c r="AU79" s="68"/>
      <c r="AV79" s="68"/>
      <c r="AW79" s="68"/>
      <c r="AX79" s="68"/>
      <c r="AY79" s="68"/>
      <c r="AZ79" s="68"/>
    </row>
    <row r="80" spans="6:54" ht="14.1" customHeight="1">
      <c r="F80" s="115" t="s">
        <v>237</v>
      </c>
      <c r="G80" s="86" t="s">
        <v>156</v>
      </c>
      <c r="H80" s="86" t="s">
        <v>157</v>
      </c>
      <c r="I80" s="116" t="s">
        <v>77</v>
      </c>
      <c r="J80" s="68"/>
      <c r="K80" s="68"/>
      <c r="L80" s="68"/>
      <c r="M80" s="68"/>
      <c r="N80" s="68"/>
      <c r="O80" s="68"/>
      <c r="P80" s="68"/>
      <c r="R80" s="68"/>
      <c r="Z80" s="159" t="s">
        <v>238</v>
      </c>
      <c r="AA80" s="86">
        <f>VLOOKUP(AA79,AA58:AB73,2)</f>
        <v>7.2599999999999998E-2</v>
      </c>
      <c r="AB80" s="86" t="s">
        <v>15</v>
      </c>
      <c r="AC80" s="86"/>
      <c r="AD80" s="86"/>
      <c r="AE80" s="86">
        <v>1</v>
      </c>
      <c r="AF80" s="86">
        <f>SUM(AC80:AE80)</f>
        <v>1</v>
      </c>
      <c r="AG80" s="86" t="s">
        <v>19</v>
      </c>
      <c r="AH80" s="86">
        <f>(AA80*AF80)</f>
        <v>7.2599999999999998E-2</v>
      </c>
      <c r="AI80" s="86">
        <f>AA80</f>
        <v>7.2599999999999998E-2</v>
      </c>
      <c r="AJ80" s="116">
        <f>IF(MAX(AI$76:AI$82)=AI80,0,3)</f>
        <v>3</v>
      </c>
      <c r="AK80" s="68">
        <v>4</v>
      </c>
      <c r="AL80" s="68" t="str">
        <f>VLOOKUP(AA79,AA58:AD73,4)</f>
        <v>#6</v>
      </c>
      <c r="AN80" s="79" t="s">
        <v>239</v>
      </c>
      <c r="AO80" s="80">
        <f>AO57</f>
        <v>114</v>
      </c>
      <c r="AP80" s="81">
        <f>AP57</f>
        <v>114</v>
      </c>
      <c r="AQ80" s="81">
        <f>AQ57</f>
        <v>0</v>
      </c>
      <c r="AR80" s="68">
        <f>AR57</f>
        <v>0</v>
      </c>
      <c r="AS80" s="68"/>
      <c r="AT80" s="68"/>
      <c r="AU80" s="68"/>
      <c r="AV80" s="68"/>
      <c r="AW80" s="68"/>
      <c r="AX80" s="68"/>
      <c r="AY80" s="68"/>
      <c r="AZ80" s="68"/>
    </row>
    <row r="81" spans="4:54" ht="14.1" customHeight="1">
      <c r="F81" s="117">
        <f>IF(G60="N",0,VLOOKUP(G61,F67:P76,3))</f>
        <v>200</v>
      </c>
      <c r="G81" s="141" t="str">
        <f>IF(G60="N","NONE",VLOOKUP(G61,F67:P76,4))</f>
        <v>#4</v>
      </c>
      <c r="H81" s="141">
        <f>IF(G60="N",0,VLOOKUP(G61,F67:P76,5))</f>
        <v>6</v>
      </c>
      <c r="I81" s="107">
        <f>IF(G60="N",0,I54)</f>
        <v>1</v>
      </c>
      <c r="J81" s="68"/>
      <c r="K81" s="68"/>
      <c r="L81" s="68"/>
      <c r="M81" s="68"/>
      <c r="N81" s="68"/>
      <c r="O81" s="68"/>
      <c r="P81" s="68"/>
      <c r="R81" s="68"/>
      <c r="Z81" s="159" t="s">
        <v>190</v>
      </c>
      <c r="AA81" s="86">
        <f>VLOOKUP(AA48,AA58:AB73,1)</f>
        <v>6</v>
      </c>
      <c r="AB81" s="86"/>
      <c r="AC81" s="86"/>
      <c r="AD81" s="86"/>
      <c r="AE81" s="86"/>
      <c r="AF81" s="86"/>
      <c r="AG81" s="86"/>
      <c r="AH81" s="86"/>
      <c r="AI81" s="86"/>
      <c r="AJ81" s="116"/>
      <c r="AK81" s="68"/>
      <c r="AL81" s="68"/>
      <c r="AN81" s="79"/>
      <c r="AO81" s="163"/>
      <c r="AP81" s="164"/>
      <c r="AQ81" s="162"/>
      <c r="AR81" s="68"/>
      <c r="AS81" s="68"/>
      <c r="AT81" s="68"/>
      <c r="AU81" s="68"/>
      <c r="AV81" s="68"/>
      <c r="AW81" s="68"/>
      <c r="AX81" s="68"/>
      <c r="AY81" s="68"/>
      <c r="AZ81" s="68"/>
    </row>
    <row r="82" spans="4:54" ht="14.1" customHeight="1"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R82" s="68"/>
      <c r="Z82" s="159" t="s">
        <v>240</v>
      </c>
      <c r="AA82" s="86">
        <f>VLOOKUP(AA48,AA58:AB73,2)</f>
        <v>9.7299999999999998E-2</v>
      </c>
      <c r="AB82" s="86" t="s">
        <v>15</v>
      </c>
      <c r="AC82" s="86"/>
      <c r="AD82" s="86"/>
      <c r="AE82" s="86"/>
      <c r="AF82" s="86">
        <f>IF(Input!E22="YES",1,0)</f>
        <v>1</v>
      </c>
      <c r="AG82" s="86" t="s">
        <v>19</v>
      </c>
      <c r="AH82" s="86">
        <f>(AA82*AF82)</f>
        <v>9.7299999999999998E-2</v>
      </c>
      <c r="AI82" s="86">
        <f>AA82</f>
        <v>9.7299999999999998E-2</v>
      </c>
      <c r="AJ82" s="116">
        <f>IF(MAX(AI$76:AI$82)=AI82,0,5)</f>
        <v>5</v>
      </c>
      <c r="AK82" s="68">
        <v>0</v>
      </c>
      <c r="AL82" s="68" t="str">
        <f>VLOOKUP(AA48,AA58:AD73,4)</f>
        <v>#4</v>
      </c>
      <c r="AN82" s="79"/>
      <c r="AO82" s="163"/>
      <c r="AP82" s="164"/>
      <c r="AQ82" s="162"/>
      <c r="AR82" s="68"/>
      <c r="AS82" s="68"/>
      <c r="AT82" s="68"/>
      <c r="AU82" s="68"/>
      <c r="AV82" s="68"/>
      <c r="AW82" s="68"/>
      <c r="AX82" s="68"/>
      <c r="AY82" s="68"/>
      <c r="AZ82" s="68"/>
    </row>
    <row r="83" spans="4:54" ht="14.1" customHeight="1">
      <c r="D83" s="67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R83" s="68"/>
      <c r="Z83" s="115"/>
      <c r="AA83" s="86"/>
      <c r="AB83" s="86"/>
      <c r="AC83" s="86"/>
      <c r="AD83" s="86"/>
      <c r="AE83" s="86"/>
      <c r="AF83" s="86"/>
      <c r="AG83" s="86"/>
      <c r="AH83" s="86"/>
      <c r="AI83" s="86"/>
      <c r="AJ83" s="116"/>
      <c r="AK83" s="68"/>
      <c r="AL83" s="68"/>
      <c r="AN83" s="79"/>
      <c r="AO83" s="163"/>
      <c r="AP83" s="164"/>
      <c r="AQ83" s="162"/>
      <c r="AR83" s="68"/>
      <c r="AS83" s="68"/>
      <c r="AT83" s="68"/>
      <c r="AU83" s="68"/>
      <c r="AV83" s="68"/>
      <c r="AW83" s="68"/>
      <c r="AX83" s="68"/>
      <c r="AY83" s="68"/>
      <c r="AZ83" s="68"/>
    </row>
    <row r="84" spans="4:54" ht="14.1" customHeight="1">
      <c r="E84" s="79"/>
      <c r="F84" s="79"/>
      <c r="G84" s="79"/>
      <c r="H84" s="79"/>
      <c r="I84" s="79"/>
      <c r="J84" s="79"/>
      <c r="Z84" s="106" t="s">
        <v>241</v>
      </c>
      <c r="AA84" s="141"/>
      <c r="AB84" s="141"/>
      <c r="AC84" s="141"/>
      <c r="AD84" s="141"/>
      <c r="AE84" s="141"/>
      <c r="AF84" s="141">
        <f>SUM(AF75:AF83)</f>
        <v>4</v>
      </c>
      <c r="AG84" s="141"/>
      <c r="AH84" s="141">
        <f>SUM(AH75:AH83)</f>
        <v>0.61450000000000005</v>
      </c>
      <c r="AI84" s="141"/>
      <c r="AJ84" s="107">
        <f>SUM(AJ75:AJ83)</f>
        <v>8</v>
      </c>
      <c r="AK84" s="68">
        <f>SUM(AK75:AK83)</f>
        <v>8</v>
      </c>
      <c r="AL84" s="68"/>
      <c r="AN84" s="79"/>
      <c r="AO84" s="163"/>
      <c r="AP84" s="164"/>
      <c r="AQ84" s="162"/>
      <c r="AR84" s="68"/>
      <c r="AS84" s="68"/>
      <c r="AT84" s="68"/>
      <c r="AU84" s="68"/>
      <c r="AV84" s="68"/>
      <c r="AW84" s="68" t="str">
        <f>CONCATENATE(AW89,AW90,AW91,AW92,AW93,AW94,AW95,AW96,AW97,AW98,AW99,AW100,AW101,AW102)</f>
        <v>( 2 X 25' L X 0.2010 R X 0.0 A ÷ 1,000 )  = 0.0 VD</v>
      </c>
      <c r="AX84" s="68"/>
      <c r="AY84" s="68"/>
      <c r="AZ84" s="68"/>
    </row>
    <row r="85" spans="4:54" ht="14.1" customHeight="1">
      <c r="E85" s="79"/>
      <c r="F85" s="79"/>
      <c r="G85" s="79"/>
      <c r="H85" s="79"/>
      <c r="I85" s="79"/>
      <c r="J85" s="79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N85" s="79"/>
      <c r="AO85" s="163"/>
      <c r="AP85" s="164"/>
      <c r="AQ85" s="162"/>
      <c r="AR85" s="68"/>
      <c r="AS85" s="68"/>
      <c r="AT85" s="68"/>
      <c r="AU85" s="68"/>
      <c r="AV85" s="68"/>
      <c r="AW85" s="68"/>
      <c r="AX85" s="68"/>
      <c r="AY85" s="68"/>
      <c r="AZ85" s="68"/>
    </row>
    <row r="86" spans="4:54" ht="14.1" customHeight="1">
      <c r="E86" s="79"/>
      <c r="F86" s="79"/>
      <c r="G86" s="79"/>
      <c r="H86" s="79"/>
      <c r="I86" s="79"/>
      <c r="J86" s="79"/>
      <c r="Z86" s="68"/>
      <c r="AA86" s="68"/>
      <c r="AB86" s="68"/>
      <c r="AC86" s="68"/>
      <c r="AD86" s="68"/>
      <c r="AE86" s="68" t="s">
        <v>66</v>
      </c>
      <c r="AF86" s="163" t="str">
        <f>Input!E18</f>
        <v>AL</v>
      </c>
      <c r="AG86" s="68" t="s">
        <v>242</v>
      </c>
      <c r="AH86" s="68" t="s">
        <v>243</v>
      </c>
      <c r="AI86" s="68"/>
      <c r="AJ86" s="68"/>
      <c r="AK86" s="68"/>
      <c r="AN86" s="79"/>
      <c r="AO86" s="163"/>
      <c r="AP86" s="164"/>
      <c r="AQ86" s="162"/>
      <c r="AR86" s="68"/>
      <c r="AS86" s="68"/>
      <c r="AT86" s="68"/>
      <c r="AU86" s="68"/>
      <c r="AV86" s="68"/>
      <c r="AW86" s="68"/>
      <c r="AX86" s="68"/>
      <c r="AY86" s="68"/>
      <c r="AZ86" s="68"/>
    </row>
    <row r="87" spans="4:54" ht="14.1" customHeight="1">
      <c r="E87" s="79"/>
      <c r="F87" s="79"/>
      <c r="G87" s="79"/>
      <c r="H87" s="79"/>
      <c r="I87" s="79"/>
      <c r="J87" s="79"/>
      <c r="Z87" s="68"/>
      <c r="AA87" s="68" t="s">
        <v>66</v>
      </c>
      <c r="AB87" s="68">
        <f>IF(AF76&gt;0,AF76," ")</f>
        <v>2</v>
      </c>
      <c r="AC87" s="68" t="s">
        <v>92</v>
      </c>
      <c r="AD87" s="68" t="str">
        <f>IF(AB87&gt;0,AL76," ")</f>
        <v>#1/0</v>
      </c>
      <c r="AE87" s="163" t="s">
        <v>66</v>
      </c>
      <c r="AF87" s="163" t="str">
        <f>Input!E23</f>
        <v>THW</v>
      </c>
      <c r="AG87" s="79" t="str">
        <f>CONCATENATE(AA87,AB87,AC87,AD87,AE87,AF87,AE86,AF86)</f>
        <v xml:space="preserve"> 2-#1/0 THW AL</v>
      </c>
      <c r="AH87" s="68"/>
      <c r="AI87" s="68"/>
      <c r="AJ87" s="68"/>
      <c r="AK87" s="68"/>
      <c r="AL87" s="68"/>
      <c r="AM87" s="68"/>
      <c r="AN87" s="79"/>
      <c r="AO87" s="163"/>
      <c r="AP87" s="164"/>
      <c r="AQ87" s="162" t="s">
        <v>201</v>
      </c>
      <c r="AR87" s="68" t="s">
        <v>201</v>
      </c>
      <c r="AS87" s="68"/>
      <c r="AT87" s="68"/>
      <c r="AU87" s="68"/>
      <c r="AV87" s="68"/>
      <c r="AW87" s="68"/>
      <c r="AX87" s="68"/>
      <c r="AY87" s="68" t="s">
        <v>244</v>
      </c>
      <c r="AZ87" s="68" t="s">
        <v>244</v>
      </c>
      <c r="BA87" s="68" t="s">
        <v>244</v>
      </c>
      <c r="BB87" s="68" t="s">
        <v>244</v>
      </c>
    </row>
    <row r="88" spans="4:54" ht="14.1" customHeight="1">
      <c r="E88" s="79"/>
      <c r="F88" s="79"/>
      <c r="G88" s="79"/>
      <c r="H88" s="79"/>
      <c r="I88" s="79"/>
      <c r="J88" s="79"/>
      <c r="Z88" s="68"/>
      <c r="AA88" s="68" t="s">
        <v>66</v>
      </c>
      <c r="AB88" s="68">
        <f>IF(AF78&gt;0,AF78,0)</f>
        <v>0</v>
      </c>
      <c r="AC88" s="68" t="s">
        <v>92</v>
      </c>
      <c r="AD88" s="68" t="str">
        <f>IF(AB88&gt;0,AL78," ")</f>
        <v xml:space="preserve"> </v>
      </c>
      <c r="AE88" s="163" t="s">
        <v>66</v>
      </c>
      <c r="AF88" s="163" t="str">
        <f>Input!E23</f>
        <v>THW</v>
      </c>
      <c r="AG88" s="79" t="str">
        <f>IF(AB88=0,"",CONCATENATE(AA88,AB88,AC88,AD88,AE88,AF88,AE86,AF86,AG86))</f>
        <v/>
      </c>
      <c r="AH88" s="68"/>
      <c r="AI88" s="68"/>
      <c r="AJ88" s="68"/>
      <c r="AK88" s="68"/>
      <c r="AL88" s="68"/>
      <c r="AM88" s="68"/>
      <c r="AN88" s="79"/>
      <c r="AO88" s="68" t="s">
        <v>200</v>
      </c>
      <c r="AP88" s="164" t="s">
        <v>75</v>
      </c>
      <c r="AQ88" s="162" t="s">
        <v>9</v>
      </c>
      <c r="AR88" s="68" t="s">
        <v>245</v>
      </c>
      <c r="AS88" s="68"/>
      <c r="AT88" s="68" t="s">
        <v>200</v>
      </c>
      <c r="AU88" s="68" t="s">
        <v>75</v>
      </c>
      <c r="AV88" s="68" t="s">
        <v>9</v>
      </c>
      <c r="AW88" s="68" t="s">
        <v>245</v>
      </c>
      <c r="AX88" s="68"/>
      <c r="AY88" s="68" t="s">
        <v>200</v>
      </c>
      <c r="AZ88" s="68" t="s">
        <v>246</v>
      </c>
      <c r="BA88" s="68" t="s">
        <v>9</v>
      </c>
      <c r="BB88" s="68" t="s">
        <v>245</v>
      </c>
    </row>
    <row r="89" spans="4:54" ht="14.1" customHeight="1">
      <c r="E89" s="79"/>
      <c r="F89" s="79"/>
      <c r="G89" s="79"/>
      <c r="H89" s="79"/>
      <c r="I89" s="79"/>
      <c r="J89" s="79"/>
      <c r="Z89" s="68"/>
      <c r="AA89" s="68" t="s">
        <v>66</v>
      </c>
      <c r="AB89" s="68">
        <f>IF(AF80&gt;0,AF80,0)</f>
        <v>1</v>
      </c>
      <c r="AC89" s="68" t="s">
        <v>92</v>
      </c>
      <c r="AD89" s="68" t="str">
        <f>IF(AB89&gt;0,AL80," ")</f>
        <v>#6</v>
      </c>
      <c r="AE89" s="163" t="s">
        <v>66</v>
      </c>
      <c r="AF89" s="163" t="str">
        <f>Input!E23</f>
        <v>THW</v>
      </c>
      <c r="AG89" s="79" t="str">
        <f>IF(AB89=0,"",CONCATENATE(AA89,AB89,AC89,AD89,AE89,AF89,AE86,AF86,AH86))</f>
        <v xml:space="preserve"> 1-#6 THW AL (N)</v>
      </c>
      <c r="AH89" s="68"/>
      <c r="AI89" s="68"/>
      <c r="AJ89" s="68"/>
      <c r="AK89" s="68"/>
      <c r="AL89" s="68"/>
      <c r="AM89" s="68"/>
      <c r="AN89" s="96">
        <v>2</v>
      </c>
      <c r="AO89" s="68">
        <v>2</v>
      </c>
      <c r="AP89" s="68">
        <v>2</v>
      </c>
      <c r="AQ89" s="68">
        <v>2</v>
      </c>
      <c r="AR89" s="68">
        <v>2</v>
      </c>
      <c r="AS89" s="165" t="s">
        <v>74</v>
      </c>
      <c r="AT89" s="165" t="s">
        <v>74</v>
      </c>
      <c r="AU89" s="165" t="s">
        <v>74</v>
      </c>
      <c r="AV89" s="165" t="s">
        <v>74</v>
      </c>
      <c r="AW89" s="165" t="s">
        <v>74</v>
      </c>
      <c r="AX89" s="68" t="s">
        <v>74</v>
      </c>
      <c r="AY89" s="68" t="s">
        <v>74</v>
      </c>
      <c r="AZ89" s="68" t="s">
        <v>74</v>
      </c>
      <c r="BA89" s="68" t="s">
        <v>74</v>
      </c>
      <c r="BB89" s="68" t="s">
        <v>74</v>
      </c>
    </row>
    <row r="90" spans="4:54" ht="14.1" customHeight="1">
      <c r="F90" s="79"/>
      <c r="G90" s="79"/>
      <c r="H90" s="79"/>
      <c r="I90" s="79"/>
      <c r="J90" s="79"/>
      <c r="Z90" s="68"/>
      <c r="AA90" s="68" t="s">
        <v>66</v>
      </c>
      <c r="AB90" s="68">
        <f>IF(AF82&gt;0,AF82,0)</f>
        <v>1</v>
      </c>
      <c r="AC90" s="68" t="s">
        <v>92</v>
      </c>
      <c r="AD90" s="68" t="str">
        <f>IF(AB90&gt;0,AL82," ")</f>
        <v>#4</v>
      </c>
      <c r="AE90" s="163" t="s">
        <v>66</v>
      </c>
      <c r="AF90" s="163" t="s">
        <v>247</v>
      </c>
      <c r="AG90" s="79" t="str">
        <f>IF(AB90=0,"",CONCATENATE(AA90,AB90,AC90,AD90,AE90,AF86,AF90))</f>
        <v xml:space="preserve"> 1-#4 AL GND</v>
      </c>
      <c r="AH90" s="68"/>
      <c r="AI90" s="68"/>
      <c r="AJ90" s="68"/>
      <c r="AK90" s="68"/>
      <c r="AL90" s="68"/>
      <c r="AM90" s="68"/>
      <c r="AN90" s="96" t="s">
        <v>248</v>
      </c>
      <c r="AO90" s="166">
        <f>Input!E17</f>
        <v>25</v>
      </c>
      <c r="AP90" s="164">
        <f>Input!E17</f>
        <v>25</v>
      </c>
      <c r="AQ90" s="164">
        <f>Input!E17</f>
        <v>25</v>
      </c>
      <c r="AR90" s="164">
        <f>Input!E17</f>
        <v>25</v>
      </c>
      <c r="AS90" s="165">
        <v>2</v>
      </c>
      <c r="AT90" s="165">
        <v>2</v>
      </c>
      <c r="AU90" s="165">
        <v>2</v>
      </c>
      <c r="AV90" s="165">
        <v>2</v>
      </c>
      <c r="AW90" s="165">
        <v>2</v>
      </c>
      <c r="AX90" s="68" t="s">
        <v>249</v>
      </c>
      <c r="AY90" s="167" t="str">
        <f>TEXT(AO97, "#,##0.0")</f>
        <v>1.1</v>
      </c>
      <c r="AZ90" s="167" t="str">
        <f>TEXT(AP97, "#,##0.0")</f>
        <v>1.0</v>
      </c>
      <c r="BA90" s="167" t="str">
        <f>TEXT(AQ97, "#,##0.0")</f>
        <v>0.0</v>
      </c>
      <c r="BB90" s="167" t="str">
        <f>TEXT(AR97, "#,##0.0")</f>
        <v>0.0</v>
      </c>
    </row>
    <row r="91" spans="4:54" ht="14.1" customHeight="1">
      <c r="G91" s="96"/>
      <c r="J91" s="79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96" t="s">
        <v>250</v>
      </c>
      <c r="AO91" s="160">
        <f>ROUND(BB74,4)</f>
        <v>0.20100000000000001</v>
      </c>
      <c r="AP91" s="160">
        <f>ROUND(BB74,4)</f>
        <v>0.20100000000000001</v>
      </c>
      <c r="AQ91" s="160">
        <f>ROUND(BB57,4)</f>
        <v>0.20100000000000001</v>
      </c>
      <c r="AR91" s="160">
        <f>ROUND(BB74,4)</f>
        <v>0.20100000000000001</v>
      </c>
      <c r="AS91" s="165" t="s">
        <v>76</v>
      </c>
      <c r="AT91" s="165" t="s">
        <v>76</v>
      </c>
      <c r="AU91" s="165" t="s">
        <v>76</v>
      </c>
      <c r="AV91" s="165" t="s">
        <v>76</v>
      </c>
      <c r="AW91" s="165" t="s">
        <v>76</v>
      </c>
      <c r="AX91" s="68" t="s">
        <v>251</v>
      </c>
      <c r="AY91" s="68" t="s">
        <v>252</v>
      </c>
      <c r="AZ91" s="68" t="s">
        <v>252</v>
      </c>
      <c r="BA91" s="68" t="s">
        <v>252</v>
      </c>
      <c r="BB91" s="68" t="s">
        <v>252</v>
      </c>
    </row>
    <row r="92" spans="4:54" ht="14.1" customHeight="1">
      <c r="G92" s="96"/>
      <c r="J92" s="79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96" t="s">
        <v>253</v>
      </c>
      <c r="AO92" s="168">
        <f>ROUND(AO80,1)</f>
        <v>114</v>
      </c>
      <c r="AP92" s="168">
        <f>ROUND(AP80,1)</f>
        <v>114</v>
      </c>
      <c r="AQ92" s="168">
        <f>ROUND(AQ80,1)</f>
        <v>0</v>
      </c>
      <c r="AR92" s="168">
        <f>ROUND(AR80,1)</f>
        <v>0</v>
      </c>
      <c r="AS92" s="165" t="s">
        <v>254</v>
      </c>
      <c r="AT92" s="169" t="str">
        <f>TEXT(AO90, "#,##0")</f>
        <v>25</v>
      </c>
      <c r="AU92" s="169" t="str">
        <f>TEXT(AP90, "#,##0")</f>
        <v>25</v>
      </c>
      <c r="AV92" s="169" t="str">
        <f>TEXT(AQ90, "#,##0")</f>
        <v>25</v>
      </c>
      <c r="AW92" s="169" t="str">
        <f>AV92</f>
        <v>25</v>
      </c>
      <c r="AX92" s="68" t="s">
        <v>17</v>
      </c>
      <c r="AY92" s="163">
        <f>AO58</f>
        <v>240</v>
      </c>
      <c r="AZ92" s="163">
        <f>AO58</f>
        <v>240</v>
      </c>
      <c r="BA92" s="163">
        <f>AO58</f>
        <v>240</v>
      </c>
      <c r="BB92" s="163">
        <f>AO58</f>
        <v>240</v>
      </c>
    </row>
    <row r="93" spans="4:54" ht="14.1" customHeight="1">
      <c r="G93" s="96"/>
      <c r="J93" s="79"/>
      <c r="Z93" s="68"/>
      <c r="AA93" s="68"/>
      <c r="AB93" s="68"/>
      <c r="AC93" s="68"/>
      <c r="AD93" s="68"/>
      <c r="AE93" s="68"/>
      <c r="AF93" s="163"/>
      <c r="AG93" s="237" t="str">
        <f>IF(Input!E16&lt;&gt;"CONDUIT",'S-Sec Cable'!I28,IF(AB87&gt;0,AG87,""))</f>
        <v xml:space="preserve"> 2-#1/0 THW AL</v>
      </c>
      <c r="AH93" s="68"/>
      <c r="AI93" s="68"/>
      <c r="AJ93" s="68"/>
      <c r="AK93" s="68"/>
      <c r="AL93" s="68"/>
      <c r="AM93" s="68"/>
      <c r="AN93" s="96" t="s">
        <v>19</v>
      </c>
      <c r="AO93" s="68"/>
      <c r="AP93" s="68"/>
      <c r="AQ93" s="68"/>
      <c r="AR93" s="68"/>
      <c r="AS93" s="165" t="s">
        <v>76</v>
      </c>
      <c r="AT93" s="170" t="s">
        <v>255</v>
      </c>
      <c r="AU93" s="170" t="s">
        <v>255</v>
      </c>
      <c r="AV93" s="170" t="s">
        <v>255</v>
      </c>
      <c r="AW93" s="170" t="s">
        <v>255</v>
      </c>
      <c r="AX93" s="68" t="s">
        <v>76</v>
      </c>
      <c r="AY93" s="68" t="s">
        <v>256</v>
      </c>
      <c r="AZ93" s="68" t="s">
        <v>256</v>
      </c>
      <c r="BA93" s="68" t="s">
        <v>256</v>
      </c>
      <c r="BB93" s="68" t="s">
        <v>256</v>
      </c>
    </row>
    <row r="94" spans="4:54" ht="14.1" customHeight="1">
      <c r="G94" s="96"/>
      <c r="J94" s="79"/>
      <c r="Z94" s="68"/>
      <c r="AA94" s="68"/>
      <c r="AB94" s="68"/>
      <c r="AC94" s="68"/>
      <c r="AD94" s="68"/>
      <c r="AE94" s="68"/>
      <c r="AF94" s="68"/>
      <c r="AG94" s="237" t="str">
        <f>IF(Input!E16&lt;&gt;"CONDUIT",'S-Sec Cable'!I29,IF(AB88&gt;0,AG88,IF(AB89&gt;0,AG89,IF(AND(SUM(AB88:AB89)=0,AB90&gt;0),AG90,""))))</f>
        <v xml:space="preserve"> 1-#6 THW AL (N)</v>
      </c>
      <c r="AH94" s="68"/>
      <c r="AI94" s="68"/>
      <c r="AJ94" s="68"/>
      <c r="AK94" s="68"/>
      <c r="AL94" s="68"/>
      <c r="AM94" s="68"/>
      <c r="AN94" s="96" t="s">
        <v>257</v>
      </c>
      <c r="AO94" s="171">
        <v>1000</v>
      </c>
      <c r="AP94" s="171">
        <v>1000</v>
      </c>
      <c r="AQ94" s="171">
        <v>1000</v>
      </c>
      <c r="AR94" s="171">
        <v>1000</v>
      </c>
      <c r="AS94" s="165" t="s">
        <v>258</v>
      </c>
      <c r="AT94" s="172" t="str">
        <f>TEXT(AO91, "0.0000")</f>
        <v>0.2010</v>
      </c>
      <c r="AU94" s="172" t="str">
        <f>TEXT(AP91, "0.0000")</f>
        <v>0.2010</v>
      </c>
      <c r="AV94" s="172" t="str">
        <f>TEXT(AQ91, "0.0000")</f>
        <v>0.2010</v>
      </c>
      <c r="AW94" s="172" t="str">
        <f>TEXT(AR91, "0.0000")</f>
        <v>0.2010</v>
      </c>
      <c r="AX94" s="68">
        <v>100</v>
      </c>
      <c r="AY94" s="68">
        <v>100</v>
      </c>
      <c r="AZ94" s="68">
        <v>100</v>
      </c>
      <c r="BA94" s="68">
        <v>100</v>
      </c>
      <c r="BB94" s="68">
        <v>100</v>
      </c>
    </row>
    <row r="95" spans="4:54" ht="14.1" customHeight="1">
      <c r="J95" s="79"/>
      <c r="Z95" s="68"/>
      <c r="AA95" s="68"/>
      <c r="AB95" s="68"/>
      <c r="AC95" s="68"/>
      <c r="AD95" s="68"/>
      <c r="AE95" s="68"/>
      <c r="AF95" s="68"/>
      <c r="AG95" s="238" t="str">
        <f>IF(Input!E16&lt;&gt;"CONDUIT",'S-Sec Cable'!I30,IF(AND(AB88&gt;0,AB89&gt;0),AG89,IF(AND(SUM(AB88:AB89)=1,AB90&gt;0),AG90,"")))</f>
        <v xml:space="preserve"> 1-#4 AL GND</v>
      </c>
      <c r="AH95" s="68"/>
      <c r="AI95" s="68"/>
      <c r="AJ95" s="68"/>
      <c r="AK95" s="68"/>
      <c r="AL95" s="68"/>
      <c r="AM95" s="68"/>
      <c r="AN95" s="96" t="s">
        <v>19</v>
      </c>
      <c r="AO95" s="68"/>
      <c r="AP95" s="68"/>
      <c r="AQ95" s="68"/>
      <c r="AR95" s="68"/>
      <c r="AS95" s="165" t="s">
        <v>76</v>
      </c>
      <c r="AT95" s="165" t="s">
        <v>259</v>
      </c>
      <c r="AU95" s="165" t="s">
        <v>259</v>
      </c>
      <c r="AV95" s="165" t="s">
        <v>259</v>
      </c>
      <c r="AW95" s="165" t="s">
        <v>259</v>
      </c>
      <c r="AX95" s="68" t="s">
        <v>260</v>
      </c>
      <c r="AY95" s="68" t="str">
        <f>AX95</f>
        <v xml:space="preserve"> ) = </v>
      </c>
      <c r="AZ95" s="68" t="str">
        <f>AY95</f>
        <v xml:space="preserve"> ) = </v>
      </c>
      <c r="BA95" s="68" t="str">
        <f>AZ95</f>
        <v xml:space="preserve"> ) = </v>
      </c>
      <c r="BB95" s="68" t="str">
        <f>BA95</f>
        <v xml:space="preserve"> ) = </v>
      </c>
    </row>
    <row r="96" spans="4:54" ht="14.1" customHeight="1">
      <c r="J96" s="79"/>
      <c r="Z96" s="68"/>
      <c r="AA96" s="68"/>
      <c r="AB96" s="68"/>
      <c r="AC96" s="68"/>
      <c r="AD96" s="68"/>
      <c r="AE96" s="68"/>
      <c r="AF96" s="68"/>
      <c r="AG96" s="238" t="str">
        <f>IF(Input!E16&lt;&gt;"CONDUIT",'S-Sec Cable'!I31,IF(AND(SUM(AB88:AB89)=2,AB90&gt;0),AG90,""))</f>
        <v/>
      </c>
      <c r="AH96" s="68"/>
      <c r="AI96" s="68"/>
      <c r="AJ96" s="68"/>
      <c r="AK96" s="68"/>
      <c r="AL96" s="68"/>
      <c r="AM96" s="68"/>
      <c r="AN96" s="96" t="s">
        <v>261</v>
      </c>
      <c r="AO96" s="171">
        <v>1</v>
      </c>
      <c r="AP96" s="171">
        <v>0.86599999999999999</v>
      </c>
      <c r="AQ96" s="171">
        <v>0.86599999999999999</v>
      </c>
      <c r="AR96" s="171">
        <v>1</v>
      </c>
      <c r="AS96" s="165" t="s">
        <v>262</v>
      </c>
      <c r="AT96" s="169" t="str">
        <f>TEXT(AO92, "#,##0.0")</f>
        <v>114.0</v>
      </c>
      <c r="AU96" s="169" t="str">
        <f>TEXT(AP92, "#,##0.0")</f>
        <v>114.0</v>
      </c>
      <c r="AV96" s="169" t="str">
        <f>TEXT(AQ92, "#,##0.0")</f>
        <v>0.0</v>
      </c>
      <c r="AW96" s="169" t="str">
        <f>TEXT(AR92, "#,##0.0")</f>
        <v>0.0</v>
      </c>
      <c r="AX96" s="68" t="s">
        <v>249</v>
      </c>
      <c r="AY96" s="173" t="str">
        <f>TEXT(AO99*100, "0.0")</f>
        <v>0.5</v>
      </c>
      <c r="AZ96" s="173" t="str">
        <f>TEXT(AP99*100, "0.0")</f>
        <v>0.4</v>
      </c>
      <c r="BA96" s="173" t="str">
        <f>TEXT(AQ99*100, "0.0")</f>
        <v>0.0</v>
      </c>
      <c r="BB96" s="173" t="str">
        <f>TEXT(AR99*100, "0.0")</f>
        <v>0.0</v>
      </c>
    </row>
    <row r="97" spans="3:54" ht="14.1" customHeight="1">
      <c r="J97" s="79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174" t="s">
        <v>263</v>
      </c>
      <c r="AO97" s="175">
        <f>ROUND((AO89*AO90*AO91*AO92)/AO94,1)</f>
        <v>1.1000000000000001</v>
      </c>
      <c r="AP97" s="175">
        <f>ROUND((AP89*AP90*AP91*AP92)/AP94*AP96,1)</f>
        <v>1</v>
      </c>
      <c r="AQ97" s="175">
        <f>ROUND((AQ89*AQ90*AQ91*AQ92)/AQ94*AQ96,1)</f>
        <v>0</v>
      </c>
      <c r="AR97" s="175">
        <f>ROUND((AR89*AR90*AR91*AR92)/AR94,1)</f>
        <v>0</v>
      </c>
      <c r="AS97" s="165" t="s">
        <v>188</v>
      </c>
      <c r="AT97" s="165" t="s">
        <v>264</v>
      </c>
      <c r="AU97" s="165" t="s">
        <v>264</v>
      </c>
      <c r="AV97" s="165" t="s">
        <v>264</v>
      </c>
      <c r="AW97" s="165" t="s">
        <v>264</v>
      </c>
      <c r="AX97" s="68" t="s">
        <v>265</v>
      </c>
      <c r="AY97" s="68" t="s">
        <v>266</v>
      </c>
      <c r="AZ97" s="68" t="s">
        <v>266</v>
      </c>
      <c r="BA97" s="68" t="s">
        <v>266</v>
      </c>
      <c r="BB97" s="68" t="s">
        <v>266</v>
      </c>
    </row>
    <row r="98" spans="3:54" ht="14.1" customHeight="1">
      <c r="J98" s="79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176" t="s">
        <v>267</v>
      </c>
      <c r="AO98" s="177">
        <f>AO58</f>
        <v>240</v>
      </c>
      <c r="AP98" s="116">
        <f>AO98</f>
        <v>240</v>
      </c>
      <c r="AQ98" s="116">
        <f>AP98</f>
        <v>240</v>
      </c>
      <c r="AR98" s="116">
        <f>AQ98</f>
        <v>240</v>
      </c>
      <c r="AS98" s="165" t="str">
        <f>TEXT(1000, "#,##0")</f>
        <v>1,000</v>
      </c>
      <c r="AT98" s="165" t="str">
        <f>TEXT(1000, "#,##0")</f>
        <v>1,000</v>
      </c>
      <c r="AU98" s="165" t="str">
        <f>TEXT(1000, "#,##0")</f>
        <v>1,000</v>
      </c>
      <c r="AV98" s="165" t="str">
        <f>TEXT(1000, "#,##0")</f>
        <v>1,000</v>
      </c>
      <c r="AW98" s="165" t="str">
        <f>TEXT(1000, "#,##0")</f>
        <v>1,000</v>
      </c>
      <c r="AX98" s="79" t="str">
        <f>CONCATENATE(AX89,AX90,AX91,AX92,AX93,AX94,AX95,AX96,AX97)</f>
        <v xml:space="preserve">( VD ÷ VOLTS X 100 ) = VD % </v>
      </c>
      <c r="AY98" s="79" t="str">
        <f>CONCATENATE(AY89,AY90,AY91,AY92,AY93,AY94,AY95,AY96,AY97)</f>
        <v>( 1.1 VD ÷ 240 V X 100 ) = 0.5 % VD</v>
      </c>
      <c r="AZ98" s="79" t="str">
        <f>CONCATENATE(AZ89,AZ90,AZ91,AZ92,AZ93,AZ94,AZ95,AZ96,AZ97)</f>
        <v>( 1.0 VD ÷ 240 V X 100 ) = 0.4 % VD</v>
      </c>
      <c r="BA98" s="79" t="str">
        <f>CONCATENATE(BA89,BA90,BA91,BA92,BA93,BA94,BA95,BA96,BA97)</f>
        <v>( 0.0 VD ÷ 240 V X 100 ) = 0.0 % VD</v>
      </c>
      <c r="BB98" s="79" t="str">
        <f>CONCATENATE(BB89,BB90,BB91,BB92,BB93,BB94,BB95,BB96,BB97)</f>
        <v>( 0.0 VD ÷ 240 V X 100 ) = 0.0 % VD</v>
      </c>
    </row>
    <row r="99" spans="3:54" ht="14.1" customHeight="1">
      <c r="D99" s="66" t="str">
        <f>CONCATENATE(D91,E92,E91,E93,,E91,G91,E94,E91,F91)</f>
        <v/>
      </c>
      <c r="J99" s="79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178" t="s">
        <v>268</v>
      </c>
      <c r="AO99" s="179">
        <f>ROUND(AO97/AO98,4)</f>
        <v>4.5999999999999999E-3</v>
      </c>
      <c r="AP99" s="179">
        <f>ROUND(AP97/AP98,4)</f>
        <v>4.1999999999999997E-3</v>
      </c>
      <c r="AQ99" s="179">
        <f>ROUND(AQ97/AQ98,4)</f>
        <v>0</v>
      </c>
      <c r="AR99" s="179">
        <f>ROUND(AR97/AR98,4)</f>
        <v>0</v>
      </c>
      <c r="AS99" s="165" t="str">
        <f>IF(Input!J9=1," )"," X ")</f>
        <v xml:space="preserve"> )</v>
      </c>
      <c r="AT99" s="165" t="s">
        <v>269</v>
      </c>
      <c r="AU99" s="165" t="s">
        <v>76</v>
      </c>
      <c r="AV99" s="165" t="s">
        <v>76</v>
      </c>
      <c r="AW99" s="165" t="s">
        <v>269</v>
      </c>
      <c r="AX99" s="68"/>
      <c r="AY99" s="79" t="str">
        <f>CONCATENATE(AY96,AY97)</f>
        <v>0.5 % VD</v>
      </c>
      <c r="AZ99" s="79" t="str">
        <f>CONCATENATE(AZ96,AZ97)</f>
        <v>0.4 % VD</v>
      </c>
      <c r="BA99" s="79" t="str">
        <f>CONCATENATE(BA96,BA97)</f>
        <v>0.0 % VD</v>
      </c>
      <c r="BB99" s="79" t="str">
        <f>CONCATENATE(BB96,BB97)</f>
        <v>0.0 % VD</v>
      </c>
    </row>
    <row r="100" spans="3:54" ht="14.1" customHeight="1">
      <c r="D100" s="66" t="str">
        <f>CONCATENATE(D91,E92,E91,E93,,E91,H91,E94,E91,F91,G91,E95,J91)</f>
        <v/>
      </c>
      <c r="J100" s="79"/>
      <c r="Z100" s="68"/>
      <c r="AA100" s="68" t="s">
        <v>66</v>
      </c>
      <c r="AB100" s="68">
        <f>I54</f>
        <v>1</v>
      </c>
      <c r="AC100" s="68" t="s">
        <v>92</v>
      </c>
      <c r="AD100" s="68" t="str">
        <f>D33</f>
        <v>1 1/2''</v>
      </c>
      <c r="AE100" s="68" t="s">
        <v>66</v>
      </c>
      <c r="AF100" s="68" t="str">
        <f>Input!E24</f>
        <v>EMT</v>
      </c>
      <c r="AG100" s="238" t="str">
        <f>IF(Input!E16&lt;&gt;"CONDUIT",'S-Sec Cable'!I28,CONCATENATE(AA100,AB100,AC100,AD100,AE100,AF100))</f>
        <v xml:space="preserve"> 1-1 1/2'' EMT</v>
      </c>
      <c r="AH100" s="68"/>
      <c r="AI100" s="68"/>
      <c r="AJ100" s="68"/>
      <c r="AK100" s="68"/>
      <c r="AL100" s="68"/>
      <c r="AM100" s="68"/>
      <c r="AS100" s="165">
        <v>0.86599999999999999</v>
      </c>
      <c r="AT100" s="165" t="s">
        <v>19</v>
      </c>
      <c r="AU100" s="180">
        <v>0.86599999999999999</v>
      </c>
      <c r="AV100" s="180">
        <v>0.86599999999999999</v>
      </c>
      <c r="AW100" s="165" t="s">
        <v>19</v>
      </c>
    </row>
    <row r="101" spans="3:54" ht="14.1" customHeight="1">
      <c r="J101" s="79"/>
      <c r="Z101" s="68"/>
      <c r="AA101" s="68"/>
      <c r="AB101" s="68"/>
      <c r="AC101" s="68"/>
      <c r="AD101" s="68"/>
      <c r="AE101" s="68"/>
      <c r="AF101" s="68"/>
      <c r="AG101" s="237" t="str">
        <f>IF(Input!E16&lt;&gt;"CONDUIT",'S-Sec Cable'!I29,IF(AB87&gt;0,AG87,""))</f>
        <v xml:space="preserve"> 2-#1/0 THW AL</v>
      </c>
      <c r="AH101" s="68"/>
      <c r="AI101" s="68"/>
      <c r="AJ101" s="68"/>
      <c r="AK101" s="68"/>
      <c r="AL101" s="68"/>
      <c r="AM101" s="68"/>
      <c r="AS101" s="165" t="s">
        <v>269</v>
      </c>
      <c r="AT101" s="181" t="str">
        <f>TEXT(AO97, "#,##0.0")</f>
        <v>1.1</v>
      </c>
      <c r="AU101" s="165" t="s">
        <v>269</v>
      </c>
      <c r="AV101" s="165" t="s">
        <v>269</v>
      </c>
      <c r="AW101" s="182" t="str">
        <f>TEXT(AR97, "#,##0.0")</f>
        <v>0.0</v>
      </c>
      <c r="AZ101" s="289">
        <f>Input!J9</f>
        <v>1</v>
      </c>
    </row>
    <row r="102" spans="3:54" ht="14.1" customHeight="1">
      <c r="C102" s="79" t="s">
        <v>270</v>
      </c>
      <c r="D102" s="66" t="str">
        <f>CONCATENATE(E92,E91,)</f>
        <v/>
      </c>
      <c r="F102" s="68"/>
      <c r="G102" s="68"/>
      <c r="H102" s="68"/>
      <c r="I102" s="68"/>
      <c r="Z102" s="68"/>
      <c r="AA102" s="68"/>
      <c r="AB102" s="68"/>
      <c r="AC102" s="68"/>
      <c r="AD102" s="68"/>
      <c r="AE102" s="68"/>
      <c r="AF102" s="68"/>
      <c r="AG102" s="238" t="str">
        <f>IF(Input!E16&lt;&gt;"CONDUIT",'S-Sec Cable'!I30,IF(AB88&gt;0,AG88,IF(AB89&gt;0,AG89,IF(AND(SUM(AB88:AB89)=0,AB90&gt;0),AG90,""))))</f>
        <v xml:space="preserve"> 1-#6 THW AL (N)</v>
      </c>
      <c r="AH102" s="68"/>
      <c r="AI102" s="68"/>
      <c r="AJ102" s="68"/>
      <c r="AK102" s="68"/>
      <c r="AL102" s="68"/>
      <c r="AM102" s="68"/>
      <c r="AO102" s="183"/>
      <c r="AP102" s="183"/>
      <c r="AQ102" s="183"/>
      <c r="AR102" s="183"/>
      <c r="AS102" s="165" t="s">
        <v>19</v>
      </c>
      <c r="AT102" s="181" t="s">
        <v>271</v>
      </c>
      <c r="AU102" s="165" t="s">
        <v>19</v>
      </c>
      <c r="AV102" s="165" t="s">
        <v>19</v>
      </c>
      <c r="AW102" s="165" t="s">
        <v>271</v>
      </c>
      <c r="AZ102" s="66" t="str">
        <f>IF(AZ101=1,AY99,AZ99)</f>
        <v>0.5 % VD</v>
      </c>
    </row>
    <row r="103" spans="3:54" ht="14.1" customHeight="1">
      <c r="C103" s="79" t="str">
        <f>IF(AND(D83=1,F84=2),"WIRE SIZE L1 &amp; L2",IF(AND(D83="3D",F84=2),"WIRE SIZE L1 &amp; L3",IF(F84&gt;2,"WIRE SIZE L1-L3"," ")))</f>
        <v xml:space="preserve"> </v>
      </c>
      <c r="D103" s="66" t="str">
        <f>CONCATENATE(E93,,E91)</f>
        <v/>
      </c>
      <c r="E103" s="79"/>
      <c r="F103" s="79"/>
      <c r="G103" s="79"/>
      <c r="H103" s="79"/>
      <c r="I103" s="79"/>
      <c r="J103" s="79"/>
      <c r="Z103" s="68"/>
      <c r="AA103" s="68"/>
      <c r="AB103" s="68"/>
      <c r="AC103" s="68"/>
      <c r="AD103" s="68"/>
      <c r="AE103" s="68"/>
      <c r="AF103" s="68"/>
      <c r="AG103" s="238" t="str">
        <f>IF(Input!E16&lt;&gt;"CONDUIT",'S-Sec Cable'!I31,IF(AND(AB88&gt;0,AB89&gt;0),AG89,IF(AND(SUM(AB88:AB89)=1,AB90&gt;0),AG90,"")))</f>
        <v xml:space="preserve"> 1-#4 AL GND</v>
      </c>
      <c r="AH103" s="68"/>
      <c r="AI103" s="68"/>
      <c r="AJ103" s="68"/>
      <c r="AK103" s="68"/>
      <c r="AL103" s="68"/>
      <c r="AM103" s="68"/>
      <c r="AN103" s="184"/>
      <c r="AO103" s="183"/>
      <c r="AS103" s="181" t="s">
        <v>271</v>
      </c>
      <c r="AT103" s="181"/>
      <c r="AU103" s="181" t="str">
        <f>TEXT(AP97, "#,##0.0")</f>
        <v>1.0</v>
      </c>
      <c r="AV103" s="181" t="str">
        <f>TEXT(AQ97, "#,##0.0")</f>
        <v>0.0</v>
      </c>
      <c r="AW103" s="181"/>
    </row>
    <row r="104" spans="3:54" ht="14.1" customHeight="1">
      <c r="C104" s="79">
        <f>IF(AND(D83="3D",F84=2),"WIRE SIZE L2",IF(H84=1,"NEUTRAL SIZE",IF(I84=1,"GROUND SIZE",0)))</f>
        <v>0</v>
      </c>
      <c r="E104" s="79"/>
      <c r="F104" s="79"/>
      <c r="G104" s="79"/>
      <c r="H104" s="79"/>
      <c r="I104" s="79"/>
      <c r="J104" s="79"/>
      <c r="Z104" s="68"/>
      <c r="AA104" s="68"/>
      <c r="AB104" s="68"/>
      <c r="AC104" s="68"/>
      <c r="AD104" s="68" t="s">
        <v>543</v>
      </c>
      <c r="AE104" s="68"/>
      <c r="AF104" s="68"/>
      <c r="AG104" s="238" t="str">
        <f>IF(Input!E16&lt;&gt;"CONDUIT",'S-Sec Cable'!I32,IF(AND(SUM(AB88:AB89)=2,AB90&gt;0),AG90,""))</f>
        <v/>
      </c>
      <c r="AH104" s="68"/>
      <c r="AI104" s="68"/>
      <c r="AJ104" s="68"/>
      <c r="AK104" s="68"/>
      <c r="AL104" s="68"/>
      <c r="AM104" s="68"/>
      <c r="AS104" s="165"/>
      <c r="AT104" s="181"/>
      <c r="AU104" s="181" t="s">
        <v>271</v>
      </c>
      <c r="AV104" s="181" t="s">
        <v>271</v>
      </c>
    </row>
    <row r="105" spans="3:54" ht="14.1" customHeight="1">
      <c r="C105" s="79"/>
      <c r="E105" s="79"/>
      <c r="F105" s="79"/>
      <c r="G105" s="79"/>
      <c r="H105" s="79"/>
      <c r="I105" s="79"/>
      <c r="J105" s="79"/>
      <c r="Z105" s="68" t="s">
        <v>542</v>
      </c>
      <c r="AA105" s="68"/>
      <c r="AB105" s="68"/>
      <c r="AC105" s="68"/>
      <c r="AD105" s="68" t="str">
        <f>Z109</f>
        <v xml:space="preserve"> FEEDER PER TABLE 310.16 - 75° C</v>
      </c>
      <c r="AE105" s="68"/>
      <c r="AF105" s="68"/>
      <c r="AG105" s="79"/>
      <c r="AH105" s="68"/>
      <c r="AI105" s="68"/>
      <c r="AJ105" s="68"/>
      <c r="AK105" s="68"/>
      <c r="AL105" s="68"/>
      <c r="AM105" s="68"/>
      <c r="AN105" s="183"/>
      <c r="AO105" s="184"/>
      <c r="AS105" s="165"/>
      <c r="AT105" s="181"/>
      <c r="AU105" s="181"/>
      <c r="AV105" s="181"/>
    </row>
    <row r="106" spans="3:54" ht="14.1" customHeight="1">
      <c r="C106" s="79"/>
      <c r="E106" s="79"/>
      <c r="F106" s="79"/>
      <c r="G106" s="79"/>
      <c r="H106" s="79"/>
      <c r="I106" s="79"/>
      <c r="J106" s="79"/>
      <c r="Z106" s="164">
        <f>Input!E19</f>
        <v>75</v>
      </c>
      <c r="AA106" s="68"/>
      <c r="AB106" s="68"/>
      <c r="AC106" s="68"/>
      <c r="AD106" s="68" t="str">
        <f>IF(T11=1,AD104,AD105)</f>
        <v xml:space="preserve"> FEEDER PER TABLE 310.15(B)(6)</v>
      </c>
      <c r="AE106" s="68"/>
      <c r="AF106" s="68"/>
      <c r="AG106" s="79" t="str">
        <f>IF(Input!E16&lt;&gt;"CONDUIT",'S-Sec Cable'!P24,AD106)</f>
        <v xml:space="preserve"> FEEDER PER TABLE 310.15(B)(6)</v>
      </c>
      <c r="AH106" s="68"/>
      <c r="AI106" s="68"/>
      <c r="AJ106" s="68"/>
      <c r="AK106" s="68"/>
      <c r="AL106" s="68"/>
      <c r="AM106" s="68"/>
      <c r="AN106" s="184"/>
      <c r="AS106" s="165"/>
      <c r="AT106" s="181" t="str">
        <f>CONCATENATE(AT101,AT102)</f>
        <v>1.1 VD</v>
      </c>
      <c r="AU106" s="181" t="str">
        <f>CONCATENATE(AU103,AU104)</f>
        <v>1.0 VD</v>
      </c>
      <c r="AV106" s="181" t="str">
        <f>CONCATENATE(AV103,AV104)</f>
        <v>0.0 VD</v>
      </c>
      <c r="AW106" s="66" t="str">
        <f>CONCATENATE(AW101,AW102)</f>
        <v>0.0 VD</v>
      </c>
    </row>
    <row r="107" spans="3:54" ht="14.1" customHeight="1">
      <c r="C107" s="79"/>
      <c r="E107" s="79"/>
      <c r="F107" s="79"/>
      <c r="G107" s="79"/>
      <c r="H107" s="79"/>
      <c r="I107" s="79"/>
      <c r="J107" s="79"/>
      <c r="Z107" s="68" t="s">
        <v>541</v>
      </c>
      <c r="AA107" s="68"/>
      <c r="AB107" s="68"/>
      <c r="AC107" s="68"/>
      <c r="AD107" s="68"/>
      <c r="AE107" s="68"/>
      <c r="AF107" s="68"/>
      <c r="AG107" s="68"/>
      <c r="AH107" s="68"/>
      <c r="AI107" s="68"/>
      <c r="AJ107" s="68"/>
      <c r="AK107" s="68"/>
      <c r="AS107" s="165"/>
      <c r="AT107" s="181" t="str">
        <f>CONCATENATE(AT89,AT90,AT91,AT92,AT93,AT94,AT95,AT96,AT97,AT98,AT99,AT100,AT101,AT102)</f>
        <v>( 2 X 25' L X 0.2010 R X 114.0 A ÷ 1,000 )  = 1.1 VD</v>
      </c>
      <c r="AU107" s="181" t="str">
        <f>CONCATENATE(AU89,AU90,AU91,AU92,AU93,AU94,AU95,AU96,AU97,AU98,AU99,AU100,AU101,AU102,AU103,AU104)</f>
        <v>( 2 X 25' L X 0.2010 R X 114.0 A ÷ 1,000 X 0.866 )  = 1.0 VD</v>
      </c>
      <c r="AV107" s="181" t="str">
        <f>CONCATENATE(AV89,AV90,AV91,AV92,AV93,AV94,AV95,AV96,AV97,AV98,AV99,AV100,AV101,AV102,AV103,AV104)</f>
        <v>( 2 X 25' L X 0.2010 R X 0.0 A ÷ 1,000 X 0.866 )  = 0.0 VD</v>
      </c>
      <c r="AW107" s="66" t="str">
        <f>CONCATENATE(AW89,AW90,AW91,AW92,AW93,AW94,AW95,AW96,AW97,AW98,AW99,AW100,AW101,AW102)</f>
        <v>( 2 X 25' L X 0.2010 R X 0.0 A ÷ 1,000 )  = 0.0 VD</v>
      </c>
    </row>
    <row r="108" spans="3:54" ht="14.1" customHeight="1">
      <c r="C108" s="79"/>
      <c r="E108" s="79"/>
      <c r="F108" s="79"/>
      <c r="G108" s="79"/>
      <c r="H108" s="79"/>
      <c r="I108" s="79"/>
      <c r="J108" s="79"/>
      <c r="Z108" s="68"/>
      <c r="AA108" s="68"/>
      <c r="AB108" s="68"/>
      <c r="AC108" s="68"/>
      <c r="AD108" s="68"/>
      <c r="AE108" s="68"/>
      <c r="AF108" s="68"/>
      <c r="AG108" s="68"/>
      <c r="AH108" s="68"/>
      <c r="AI108" s="68"/>
      <c r="AJ108" s="68"/>
      <c r="AK108" s="68"/>
      <c r="AS108" s="165"/>
      <c r="AT108" s="181"/>
      <c r="AU108" s="181"/>
      <c r="AV108" s="181"/>
    </row>
    <row r="109" spans="3:54" ht="14.1" customHeight="1">
      <c r="C109" s="79"/>
      <c r="F109" s="79"/>
      <c r="G109" s="79"/>
      <c r="H109" s="79"/>
      <c r="I109" s="79"/>
      <c r="J109" s="79"/>
      <c r="Z109" s="79" t="str">
        <f>CONCATENATE(Z105,Z106,Z107)</f>
        <v xml:space="preserve"> FEEDER PER TABLE 310.16 - 75° C</v>
      </c>
      <c r="AA109" s="68"/>
      <c r="AB109" s="68"/>
      <c r="AC109" s="68"/>
      <c r="AD109" s="68"/>
      <c r="AE109" s="68"/>
      <c r="AF109" s="68"/>
      <c r="AG109" s="68"/>
      <c r="AH109" s="68"/>
      <c r="AI109" s="68"/>
      <c r="AJ109" s="68" t="s">
        <v>150</v>
      </c>
      <c r="AK109" s="68" t="s">
        <v>150</v>
      </c>
      <c r="AS109" s="165"/>
      <c r="AT109" s="181"/>
      <c r="AU109" s="181"/>
      <c r="AV109" s="181"/>
    </row>
    <row r="110" spans="3:54" ht="14.1" customHeight="1">
      <c r="C110" s="79"/>
      <c r="G110" s="96"/>
      <c r="J110" s="79"/>
      <c r="Z110" s="68"/>
      <c r="AA110" s="68"/>
      <c r="AB110" s="68"/>
      <c r="AC110" s="68"/>
      <c r="AD110" s="68"/>
      <c r="AE110" s="68"/>
      <c r="AF110" s="68"/>
      <c r="AG110" s="68"/>
      <c r="AH110" s="68"/>
      <c r="AI110" s="68"/>
      <c r="AJ110" s="68" t="s">
        <v>133</v>
      </c>
      <c r="AK110" s="68" t="s">
        <v>150</v>
      </c>
      <c r="AO110" s="183"/>
      <c r="AS110" s="165"/>
      <c r="AT110" s="181"/>
      <c r="AU110" s="181"/>
      <c r="AV110" s="181"/>
    </row>
    <row r="111" spans="3:54" ht="14.1" customHeight="1">
      <c r="G111" s="96"/>
      <c r="J111" s="79"/>
      <c r="Z111" s="68"/>
      <c r="AA111" s="68"/>
      <c r="AB111" s="68"/>
      <c r="AC111" s="68"/>
      <c r="AD111" s="68"/>
      <c r="AE111" s="68"/>
      <c r="AF111" s="68"/>
      <c r="AG111" s="68"/>
      <c r="AH111" s="68"/>
      <c r="AI111" s="68"/>
      <c r="AJ111" s="68" t="s">
        <v>157</v>
      </c>
      <c r="AK111" s="68" t="s">
        <v>133</v>
      </c>
      <c r="AS111" s="165"/>
      <c r="AT111" s="181"/>
      <c r="AU111" s="181"/>
      <c r="AV111" s="181"/>
    </row>
    <row r="112" spans="3:54" ht="14.1" customHeight="1">
      <c r="G112" s="96"/>
      <c r="J112" s="79"/>
      <c r="Z112" s="68"/>
      <c r="AA112" s="68"/>
      <c r="AB112" s="68"/>
      <c r="AC112" s="68"/>
      <c r="AD112" s="68"/>
      <c r="AE112" s="68"/>
      <c r="AF112" s="68"/>
      <c r="AG112" s="68"/>
      <c r="AH112" s="68"/>
      <c r="AI112" s="68"/>
      <c r="AJ112" s="68"/>
      <c r="AK112" s="68" t="s">
        <v>156</v>
      </c>
      <c r="AS112" s="165"/>
      <c r="AT112" s="181"/>
      <c r="AU112" s="181"/>
      <c r="AV112" s="181"/>
    </row>
    <row r="113" spans="7:49" ht="14.1" customHeight="1">
      <c r="G113" s="96"/>
      <c r="J113" s="79"/>
      <c r="Z113" s="68"/>
      <c r="AA113" s="68"/>
      <c r="AB113" s="68"/>
      <c r="AC113" s="68"/>
      <c r="AD113" s="68"/>
      <c r="AE113" s="68"/>
      <c r="AF113" s="68"/>
      <c r="AG113" s="68"/>
      <c r="AH113" s="68"/>
      <c r="AI113" s="68"/>
      <c r="AJ113" s="68">
        <v>3</v>
      </c>
      <c r="AK113" s="68" t="s">
        <v>214</v>
      </c>
      <c r="AS113" s="165"/>
      <c r="AT113" s="181"/>
      <c r="AU113" s="181"/>
      <c r="AV113" s="181"/>
    </row>
    <row r="114" spans="7:49" ht="14.1" customHeight="1">
      <c r="J114" s="79"/>
      <c r="Z114" s="68"/>
      <c r="AA114" s="68"/>
      <c r="AB114" s="68"/>
      <c r="AC114" s="68"/>
      <c r="AD114" s="68"/>
      <c r="AE114" s="68"/>
      <c r="AF114" s="68"/>
      <c r="AG114" s="68"/>
      <c r="AH114" s="68"/>
      <c r="AI114" s="68"/>
      <c r="AJ114" s="68">
        <v>4</v>
      </c>
      <c r="AK114" s="68" t="s">
        <v>217</v>
      </c>
      <c r="AS114" s="165"/>
      <c r="AT114" s="181"/>
      <c r="AU114" s="181"/>
      <c r="AV114" s="181"/>
    </row>
    <row r="115" spans="7:49" ht="14.1" customHeight="1">
      <c r="J115" s="79"/>
      <c r="Z115" s="68"/>
      <c r="AA115" s="68"/>
      <c r="AB115" s="68"/>
      <c r="AC115" s="68"/>
      <c r="AD115" s="68"/>
      <c r="AE115" s="68"/>
      <c r="AF115" s="68"/>
      <c r="AG115" s="68"/>
      <c r="AH115" s="68"/>
      <c r="AI115" s="68"/>
      <c r="AJ115" s="68">
        <v>5</v>
      </c>
      <c r="AK115" s="68" t="s">
        <v>158</v>
      </c>
      <c r="AR115" s="66" t="s">
        <v>272</v>
      </c>
      <c r="AS115" s="165"/>
      <c r="AT115" s="181"/>
      <c r="AU115" s="181"/>
      <c r="AV115" s="181"/>
    </row>
    <row r="116" spans="7:49" ht="14.1" customHeight="1">
      <c r="J116" s="79"/>
      <c r="Z116" s="68"/>
      <c r="AA116" s="68"/>
      <c r="AB116" s="68"/>
      <c r="AC116" s="68"/>
      <c r="AD116" s="68"/>
      <c r="AE116" s="68"/>
      <c r="AF116" s="68"/>
      <c r="AG116" s="68"/>
      <c r="AH116" s="68"/>
      <c r="AI116" s="68"/>
      <c r="AJ116" s="68">
        <v>6</v>
      </c>
      <c r="AK116" s="68" t="s">
        <v>161</v>
      </c>
      <c r="AR116" s="66" t="s">
        <v>273</v>
      </c>
      <c r="AS116" s="185" t="str">
        <f>AT107</f>
        <v>( 2 X 25' L X 0.2010 R X 114.0 A ÷ 1,000 )  = 1.1 VD</v>
      </c>
      <c r="AU116" s="165"/>
      <c r="AV116" s="66" t="s">
        <v>274</v>
      </c>
      <c r="AW116" s="66" t="str">
        <f>AY98</f>
        <v>( 1.1 VD ÷ 240 V X 100 ) = 0.5 % VD</v>
      </c>
    </row>
    <row r="117" spans="7:49" ht="14.1" customHeight="1">
      <c r="J117" s="79"/>
      <c r="Z117" s="68"/>
      <c r="AA117" s="68"/>
      <c r="AB117" s="68"/>
      <c r="AC117" s="68"/>
      <c r="AD117" s="68"/>
      <c r="AE117" s="68"/>
      <c r="AF117" s="68"/>
      <c r="AG117" s="68"/>
      <c r="AH117" s="68"/>
      <c r="AI117" s="68"/>
      <c r="AJ117" s="68">
        <v>7</v>
      </c>
      <c r="AK117" s="68" t="s">
        <v>163</v>
      </c>
      <c r="AR117" s="66" t="s">
        <v>275</v>
      </c>
      <c r="AS117" s="185" t="str">
        <f>AU107</f>
        <v>( 2 X 25' L X 0.2010 R X 114.0 A ÷ 1,000 X 0.866 )  = 1.0 VD</v>
      </c>
      <c r="AV117" s="66" t="s">
        <v>274</v>
      </c>
      <c r="AW117" s="66" t="str">
        <f>AZ98</f>
        <v>( 1.0 VD ÷ 240 V X 100 ) = 0.4 % VD</v>
      </c>
    </row>
    <row r="118" spans="7:49" ht="14.1" customHeight="1">
      <c r="J118" s="79"/>
      <c r="Z118" s="68"/>
      <c r="AA118" s="68"/>
      <c r="AB118" s="68"/>
      <c r="AC118" s="68"/>
      <c r="AD118" s="68"/>
      <c r="AE118" s="68"/>
      <c r="AF118" s="68"/>
      <c r="AG118" s="68"/>
      <c r="AH118" s="68"/>
      <c r="AI118" s="68"/>
      <c r="AJ118" s="68">
        <v>8</v>
      </c>
      <c r="AK118" s="68" t="s">
        <v>162</v>
      </c>
      <c r="AR118" s="66" t="s">
        <v>276</v>
      </c>
      <c r="AS118" s="66" t="str">
        <f>AW107</f>
        <v>( 2 X 25' L X 0.2010 R X 0.0 A ÷ 1,000 )  = 0.0 VD</v>
      </c>
      <c r="AV118" s="66" t="s">
        <v>277</v>
      </c>
      <c r="AW118" s="66" t="str">
        <f>BB98</f>
        <v>( 0.0 VD ÷ 240 V X 100 ) = 0.0 % VD</v>
      </c>
    </row>
    <row r="119" spans="7:49" ht="14.1" customHeight="1">
      <c r="J119" s="79"/>
      <c r="Z119" s="68"/>
      <c r="AA119" s="68"/>
      <c r="AB119" s="68"/>
      <c r="AC119" s="68"/>
      <c r="AD119" s="68"/>
      <c r="AE119" s="68"/>
      <c r="AF119" s="68"/>
      <c r="AG119" s="68"/>
      <c r="AH119" s="68"/>
      <c r="AI119" s="68"/>
      <c r="AJ119" s="68">
        <v>9</v>
      </c>
      <c r="AK119" s="68" t="s">
        <v>164</v>
      </c>
      <c r="AR119" s="66" t="s">
        <v>278</v>
      </c>
      <c r="AS119" s="185" t="str">
        <f>AV107</f>
        <v>( 2 X 25' L X 0.2010 R X 0.0 A ÷ 1,000 X 0.866 )  = 0.0 VD</v>
      </c>
      <c r="AV119" s="66" t="s">
        <v>279</v>
      </c>
      <c r="AW119" s="66" t="str">
        <f>BA98</f>
        <v>( 0.0 VD ÷ 240 V X 100 ) = 0.0 % VD</v>
      </c>
    </row>
    <row r="120" spans="7:49" ht="14.1" customHeight="1">
      <c r="Z120" s="68"/>
      <c r="AA120" s="68"/>
      <c r="AB120" s="68"/>
      <c r="AC120" s="68"/>
      <c r="AD120" s="68"/>
      <c r="AE120" s="68"/>
      <c r="AF120" s="68"/>
      <c r="AG120" s="68"/>
      <c r="AH120" s="68"/>
      <c r="AI120" s="68"/>
      <c r="AJ120" s="68">
        <v>10</v>
      </c>
      <c r="AK120" s="68" t="s">
        <v>165</v>
      </c>
    </row>
    <row r="121" spans="7:49" ht="14.1" customHeight="1">
      <c r="Z121" s="68"/>
      <c r="AA121" s="68"/>
      <c r="AB121" s="68"/>
      <c r="AC121" s="68"/>
      <c r="AD121" s="68"/>
      <c r="AE121" s="68"/>
      <c r="AF121" s="68"/>
      <c r="AG121" s="68"/>
      <c r="AJ121" s="68">
        <v>11</v>
      </c>
      <c r="AK121" s="68" t="s">
        <v>166</v>
      </c>
    </row>
    <row r="122" spans="7:49" ht="14.1" customHeight="1">
      <c r="Z122" s="68"/>
      <c r="AA122" s="68"/>
      <c r="AB122" s="68"/>
      <c r="AC122" s="68"/>
      <c r="AD122" s="68"/>
      <c r="AE122" s="68"/>
      <c r="AJ122" s="68">
        <v>12</v>
      </c>
      <c r="AK122" s="68" t="s">
        <v>169</v>
      </c>
    </row>
    <row r="123" spans="7:49" ht="14.1" customHeight="1">
      <c r="Z123" s="68"/>
      <c r="AA123" s="68"/>
      <c r="AB123" s="68"/>
      <c r="AC123" s="68"/>
      <c r="AD123" s="68"/>
      <c r="AE123" s="68"/>
      <c r="AJ123" s="68">
        <v>13</v>
      </c>
      <c r="AK123" s="68" t="s">
        <v>170</v>
      </c>
    </row>
    <row r="124" spans="7:49" ht="14.1" customHeight="1">
      <c r="Z124" s="68"/>
      <c r="AA124" s="68"/>
      <c r="AB124" s="68"/>
      <c r="AC124" s="68"/>
      <c r="AD124" s="68"/>
      <c r="AE124" s="68"/>
      <c r="AJ124" s="68">
        <v>14</v>
      </c>
      <c r="AK124" s="68" t="s">
        <v>172</v>
      </c>
    </row>
    <row r="125" spans="7:49" ht="14.1" customHeight="1">
      <c r="Z125" s="68"/>
      <c r="AA125" s="68"/>
      <c r="AE125" s="68"/>
      <c r="AJ125" s="68">
        <v>15</v>
      </c>
      <c r="AK125" s="68" t="s">
        <v>173</v>
      </c>
    </row>
    <row r="126" spans="7:49" ht="14.1" customHeight="1">
      <c r="Z126" s="68"/>
      <c r="AA126" s="68"/>
      <c r="AE126" s="68"/>
      <c r="AJ126" s="68">
        <v>16</v>
      </c>
      <c r="AK126" s="68" t="s">
        <v>175</v>
      </c>
    </row>
    <row r="127" spans="7:49" ht="14.1" customHeight="1">
      <c r="Z127" s="68"/>
      <c r="AA127" s="68"/>
      <c r="AE127" s="68"/>
      <c r="AJ127" s="68">
        <v>17</v>
      </c>
      <c r="AK127" s="68" t="s">
        <v>176</v>
      </c>
    </row>
    <row r="128" spans="7:49" ht="14.1" customHeight="1">
      <c r="AJ128" s="68">
        <v>18</v>
      </c>
      <c r="AK128" s="68" t="s">
        <v>177</v>
      </c>
    </row>
    <row r="129" ht="14.1" customHeight="1"/>
    <row r="130" ht="14.1" customHeight="1"/>
    <row r="131" ht="14.1" customHeight="1"/>
    <row r="132" ht="14.1" customHeight="1"/>
    <row r="133" ht="14.1" customHeight="1"/>
    <row r="134" ht="14.1" customHeight="1"/>
    <row r="135" ht="14.1" customHeight="1"/>
    <row r="136" ht="14.1" customHeight="1"/>
    <row r="137" ht="14.1" customHeight="1"/>
    <row r="138" ht="14.1" customHeight="1"/>
    <row r="139" ht="14.1" customHeight="1"/>
    <row r="140" ht="14.1" customHeight="1"/>
    <row r="141" ht="14.1" customHeight="1"/>
    <row r="142" ht="14.1" customHeight="1"/>
    <row r="143" ht="14.1" customHeight="1"/>
    <row r="144" ht="14.1" customHeight="1"/>
    <row r="145" ht="14.1" customHeight="1"/>
    <row r="146" ht="14.1" customHeight="1"/>
    <row r="147" ht="14.1" customHeight="1"/>
    <row r="148" ht="14.1" customHeight="1"/>
    <row r="149" ht="14.1" customHeight="1"/>
    <row r="150" ht="14.1" customHeight="1"/>
    <row r="151" ht="14.1" customHeight="1"/>
    <row r="152" ht="14.1" customHeight="1"/>
    <row r="153" ht="14.1" customHeight="1"/>
    <row r="154" ht="14.1" customHeight="1"/>
    <row r="155" ht="14.1" customHeight="1"/>
    <row r="156" ht="14.1" customHeight="1"/>
    <row r="157" ht="14.1" customHeight="1"/>
    <row r="158" ht="14.1" customHeight="1"/>
    <row r="159" ht="14.1" customHeight="1"/>
    <row r="160" ht="14.1" customHeight="1"/>
    <row r="161" ht="14.1" customHeight="1"/>
    <row r="162" ht="14.1" customHeight="1"/>
    <row r="163" ht="14.1" customHeight="1"/>
    <row r="164" ht="14.1" customHeight="1"/>
    <row r="165" ht="14.1" customHeight="1"/>
    <row r="166" ht="14.1" customHeight="1"/>
    <row r="167" ht="14.1" customHeight="1"/>
    <row r="168" ht="14.1" customHeight="1"/>
    <row r="169" ht="14.1" customHeight="1"/>
    <row r="170" ht="14.1" customHeight="1"/>
    <row r="171" ht="14.1" customHeight="1"/>
    <row r="172" ht="14.1" customHeight="1"/>
    <row r="173" ht="14.1" customHeight="1"/>
    <row r="174" ht="14.1" customHeight="1"/>
    <row r="175" ht="14.1" customHeight="1"/>
    <row r="176" ht="14.1" customHeight="1"/>
    <row r="177" ht="14.1" customHeight="1"/>
    <row r="178" ht="14.1" customHeight="1"/>
    <row r="179" ht="14.1" customHeight="1"/>
    <row r="180" ht="14.1" customHeight="1"/>
    <row r="181" ht="14.1" customHeight="1"/>
    <row r="182" ht="14.1" customHeight="1"/>
    <row r="183" ht="14.1" customHeight="1"/>
    <row r="184" ht="14.1" customHeight="1"/>
    <row r="185" ht="14.1" customHeight="1"/>
    <row r="186" ht="14.1" customHeight="1"/>
    <row r="187" ht="14.1" customHeight="1"/>
    <row r="188" ht="14.1" customHeight="1"/>
    <row r="189" ht="14.1" customHeight="1"/>
    <row r="190" ht="14.1" customHeight="1"/>
    <row r="191" ht="14.1" customHeight="1"/>
    <row r="192" ht="14.1" customHeight="1"/>
    <row r="193" ht="14.1" customHeight="1"/>
    <row r="194" ht="14.1" customHeight="1"/>
    <row r="195" ht="14.1" customHeight="1"/>
    <row r="196" ht="14.1" customHeight="1"/>
    <row r="197" ht="14.1" customHeight="1"/>
    <row r="198" ht="14.1" customHeight="1"/>
    <row r="199" ht="14.1" customHeight="1"/>
    <row r="200" ht="14.1" customHeight="1"/>
    <row r="201" ht="14.1" customHeight="1"/>
    <row r="202" ht="14.1" customHeight="1"/>
    <row r="203" ht="14.1" customHeight="1"/>
    <row r="204" ht="14.1" customHeight="1"/>
    <row r="205" ht="14.1" customHeight="1"/>
    <row r="206" ht="14.1" customHeight="1"/>
    <row r="207" ht="14.1" customHeight="1"/>
    <row r="208" ht="14.1" customHeight="1"/>
    <row r="209" ht="14.1" customHeight="1"/>
    <row r="210" ht="14.1" customHeight="1"/>
    <row r="211" ht="14.1" customHeight="1"/>
    <row r="212" ht="14.1" customHeight="1"/>
    <row r="213" ht="14.1" customHeight="1"/>
    <row r="214" ht="14.1" customHeight="1"/>
    <row r="215" ht="14.1" customHeight="1"/>
    <row r="216" ht="14.1" customHeight="1"/>
    <row r="217" ht="14.1" customHeight="1"/>
    <row r="218" ht="14.1" customHeight="1"/>
    <row r="219" ht="14.1" customHeight="1"/>
    <row r="220" ht="14.1" customHeight="1"/>
    <row r="221" ht="14.1" customHeight="1"/>
    <row r="222" ht="14.1" customHeight="1"/>
    <row r="223" ht="14.1" customHeight="1"/>
    <row r="224" ht="14.1" customHeight="1"/>
    <row r="225" ht="14.1" customHeight="1"/>
    <row r="226" ht="14.1" customHeight="1"/>
    <row r="227" ht="14.1" customHeight="1"/>
    <row r="228" ht="14.1" customHeight="1"/>
    <row r="229" ht="14.1" customHeight="1"/>
    <row r="230" ht="14.1" customHeight="1"/>
    <row r="231" ht="14.1" customHeight="1"/>
    <row r="232" ht="14.1" customHeight="1"/>
    <row r="233" ht="14.1" customHeight="1"/>
    <row r="234" ht="14.1" customHeight="1"/>
    <row r="235" ht="14.1" customHeight="1"/>
    <row r="236" ht="14.1" customHeight="1"/>
    <row r="237" ht="14.1" customHeight="1"/>
    <row r="238" ht="14.1" customHeight="1"/>
    <row r="239" ht="14.1" customHeight="1"/>
    <row r="240" ht="14.1" customHeight="1"/>
    <row r="241" ht="14.1" customHeight="1"/>
    <row r="242" ht="14.1" customHeight="1"/>
    <row r="243" ht="14.1" customHeight="1"/>
    <row r="244" ht="14.1" customHeight="1"/>
    <row r="245" ht="14.1" customHeight="1"/>
    <row r="246" ht="14.1" customHeight="1"/>
    <row r="247" ht="14.1" customHeight="1"/>
    <row r="248" ht="14.1" customHeight="1"/>
    <row r="249" ht="14.1" customHeight="1"/>
    <row r="250" ht="14.1" customHeight="1"/>
    <row r="251" ht="14.1" customHeight="1"/>
    <row r="252" ht="14.1" customHeight="1"/>
    <row r="253" ht="14.1" customHeight="1"/>
    <row r="254" ht="14.1" customHeight="1"/>
    <row r="255" ht="14.1" customHeight="1"/>
    <row r="256" ht="14.1" customHeight="1"/>
    <row r="257" ht="14.1" customHeight="1"/>
    <row r="258" ht="14.1" customHeight="1"/>
    <row r="259" ht="14.1" customHeight="1"/>
    <row r="260" ht="14.1" customHeight="1"/>
    <row r="261" ht="14.1" customHeight="1"/>
    <row r="262" ht="14.1" customHeight="1"/>
    <row r="263" ht="14.1" customHeight="1"/>
    <row r="264" ht="14.1" customHeight="1"/>
    <row r="265" ht="14.1" customHeight="1"/>
    <row r="266" ht="14.1" customHeight="1"/>
    <row r="267" ht="14.1" customHeight="1"/>
    <row r="268" ht="14.1" customHeight="1"/>
    <row r="269" ht="14.1" customHeight="1"/>
    <row r="270" ht="14.1" customHeight="1"/>
    <row r="271" ht="14.1" customHeight="1"/>
    <row r="272" ht="14.1" customHeight="1"/>
    <row r="273" ht="14.1" customHeight="1"/>
    <row r="274" ht="14.1" customHeight="1"/>
    <row r="275" ht="14.1" customHeight="1"/>
    <row r="276" ht="14.1" customHeight="1"/>
    <row r="277" ht="14.1" customHeight="1"/>
    <row r="278" ht="14.1" customHeight="1"/>
    <row r="279" ht="14.1" customHeight="1"/>
    <row r="280" ht="14.1" customHeight="1"/>
    <row r="281" ht="14.1" customHeight="1"/>
    <row r="282" ht="14.1" customHeight="1"/>
    <row r="283" ht="14.1" customHeight="1"/>
    <row r="284" ht="14.1" customHeight="1"/>
    <row r="285" ht="14.1" customHeight="1"/>
    <row r="286" ht="14.1" customHeight="1"/>
    <row r="287" ht="14.1" customHeight="1"/>
    <row r="288" ht="14.1" customHeight="1"/>
    <row r="289" ht="14.1" customHeight="1"/>
    <row r="290" ht="14.1" customHeight="1"/>
    <row r="291" ht="14.1" customHeight="1"/>
    <row r="292" ht="14.1" customHeight="1"/>
    <row r="293" ht="14.1" customHeight="1"/>
    <row r="294" ht="14.1" customHeight="1"/>
    <row r="295" ht="14.1" customHeight="1"/>
    <row r="296" ht="14.1" customHeight="1"/>
    <row r="297" ht="14.1" customHeight="1"/>
    <row r="298" ht="14.1" customHeight="1"/>
    <row r="299" ht="14.1" customHeight="1"/>
    <row r="300" ht="14.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4.1" hidden="1" customHeight="1"/>
    <row r="313" ht="14.1" hidden="1" customHeight="1"/>
    <row r="314" ht="14.1" hidden="1" customHeight="1"/>
    <row r="315" ht="14.1" hidden="1" customHeight="1"/>
    <row r="316" ht="14.1" hidden="1" customHeight="1"/>
    <row r="317" ht="14.1" hidden="1" customHeight="1"/>
    <row r="318" ht="14.1" hidden="1" customHeight="1"/>
    <row r="319" ht="14.1" hidden="1" customHeight="1"/>
    <row r="320" ht="14.1" hidden="1" customHeight="1"/>
    <row r="321" ht="14.1" hidden="1" customHeight="1"/>
    <row r="322" ht="14.1" hidden="1" customHeight="1"/>
    <row r="323" ht="14.1" hidden="1" customHeight="1"/>
    <row r="324" ht="14.1" hidden="1" customHeight="1"/>
    <row r="325" ht="14.1" hidden="1" customHeight="1"/>
    <row r="326" ht="14.1" hidden="1" customHeight="1"/>
    <row r="327" ht="14.1" hidden="1" customHeight="1"/>
    <row r="328" ht="14.1" hidden="1" customHeight="1"/>
    <row r="329" ht="14.1" hidden="1" customHeight="1"/>
    <row r="330" ht="14.1" hidden="1" customHeight="1"/>
    <row r="331" ht="14.1" hidden="1" customHeight="1"/>
    <row r="332" ht="14.1" hidden="1" customHeight="1"/>
    <row r="333" ht="14.1" hidden="1" customHeight="1"/>
    <row r="334" ht="14.1" hidden="1" customHeight="1"/>
    <row r="335" ht="14.1" hidden="1" customHeight="1"/>
    <row r="336" ht="14.1" hidden="1" customHeight="1"/>
    <row r="337" ht="14.1" hidden="1" customHeight="1"/>
    <row r="338" ht="14.1" hidden="1" customHeight="1"/>
    <row r="339" ht="14.1" hidden="1" customHeight="1"/>
    <row r="340" ht="14.1" hidden="1" customHeight="1"/>
    <row r="341" ht="14.1" hidden="1" customHeight="1"/>
    <row r="342" ht="14.1" hidden="1" customHeight="1"/>
    <row r="343" ht="14.1" hidden="1" customHeight="1"/>
    <row r="344" ht="14.1" hidden="1" customHeight="1"/>
    <row r="345" ht="14.1" hidden="1" customHeight="1"/>
    <row r="346" ht="14.1" hidden="1" customHeight="1"/>
    <row r="347" ht="14.1" hidden="1" customHeight="1"/>
    <row r="348" ht="14.1" hidden="1" customHeight="1"/>
    <row r="349" ht="14.1" hidden="1" customHeight="1"/>
    <row r="350" ht="14.1" hidden="1" customHeight="1"/>
    <row r="351" ht="14.1" hidden="1" customHeight="1"/>
    <row r="352" ht="14.1" hidden="1" customHeight="1"/>
    <row r="353" ht="14.1" hidden="1" customHeight="1"/>
    <row r="354" ht="14.1" hidden="1" customHeight="1"/>
    <row r="355" ht="14.1" hidden="1" customHeight="1"/>
    <row r="356" ht="14.1" hidden="1" customHeight="1"/>
    <row r="357" ht="14.1" hidden="1" customHeight="1"/>
    <row r="358" ht="14.1" hidden="1" customHeight="1"/>
    <row r="359" ht="14.1" hidden="1" customHeight="1"/>
    <row r="360" ht="14.1" hidden="1" customHeight="1"/>
    <row r="361" ht="14.1" hidden="1" customHeight="1"/>
    <row r="362" ht="14.1" hidden="1" customHeight="1"/>
    <row r="363" ht="14.1" hidden="1" customHeight="1"/>
    <row r="364" ht="14.1" hidden="1" customHeight="1"/>
    <row r="365" ht="14.1" hidden="1" customHeight="1"/>
    <row r="366" ht="14.1" hidden="1" customHeight="1"/>
    <row r="367" ht="14.1" hidden="1" customHeight="1"/>
    <row r="368" ht="14.1" hidden="1" customHeight="1"/>
    <row r="369" ht="14.1" hidden="1" customHeight="1"/>
    <row r="370" ht="14.1" hidden="1" customHeight="1"/>
    <row r="371" ht="14.1" hidden="1" customHeight="1"/>
    <row r="372" ht="14.1" hidden="1" customHeight="1"/>
    <row r="373" ht="14.1" hidden="1" customHeight="1"/>
    <row r="374" ht="14.1" hidden="1" customHeight="1"/>
    <row r="375" ht="14.1" hidden="1" customHeight="1"/>
    <row r="376" ht="14.1" hidden="1" customHeight="1"/>
    <row r="377" ht="14.1" hidden="1" customHeight="1"/>
    <row r="378" ht="14.1" hidden="1" customHeight="1"/>
    <row r="379" ht="14.1" hidden="1" customHeight="1"/>
    <row r="380" ht="14.1" hidden="1" customHeight="1"/>
    <row r="381" ht="14.1" hidden="1" customHeight="1"/>
    <row r="382" ht="14.1" hidden="1" customHeight="1"/>
    <row r="383" ht="14.1" hidden="1" customHeight="1"/>
    <row r="384" ht="14.1" hidden="1" customHeight="1"/>
    <row r="385" ht="14.1" hidden="1" customHeight="1"/>
    <row r="386" ht="14.1" hidden="1" customHeight="1"/>
    <row r="387" ht="14.1" hidden="1" customHeight="1"/>
    <row r="388" ht="14.1" hidden="1" customHeight="1"/>
    <row r="389" ht="14.1" hidden="1" customHeight="1"/>
    <row r="390" ht="14.1" hidden="1" customHeight="1"/>
    <row r="391" ht="14.1" hidden="1" customHeight="1"/>
    <row r="392" ht="14.1" hidden="1" customHeight="1"/>
    <row r="393" ht="14.1" hidden="1" customHeight="1"/>
    <row r="394" ht="14.1" hidden="1" customHeight="1"/>
    <row r="395" ht="14.1" hidden="1" customHeight="1"/>
    <row r="396" ht="14.1" hidden="1" customHeight="1"/>
    <row r="397" ht="14.1" hidden="1" customHeight="1"/>
    <row r="398" ht="14.1" hidden="1" customHeight="1"/>
    <row r="399" ht="14.1" hidden="1" customHeight="1"/>
    <row r="400" ht="14.1" hidden="1" customHeight="1"/>
  </sheetData>
  <phoneticPr fontId="7" type="noConversion"/>
  <conditionalFormatting sqref="AO60 AO78:AO99 AO57 AO54 AT88:AT115 AR116:AY116 AY88:AY99">
    <cfRule type="expression" dxfId="19" priority="1" stopIfTrue="1">
      <formula>IF($H$8=1,TRUE,FALSE)</formula>
    </cfRule>
  </conditionalFormatting>
  <conditionalFormatting sqref="AP54 AP57 AP60 AP78:AP99 AU88:AU115 AR117:AY117 AZ88:AZ99">
    <cfRule type="expression" dxfId="18" priority="2" stopIfTrue="1">
      <formula>IF($H$8="3Y",TRUE,FALSE)</formula>
    </cfRule>
  </conditionalFormatting>
  <conditionalFormatting sqref="AQ78:AR99 AV88:AW115 AQ54:AR54 AQ57:AR57 AQ60:AR60 AR118:AY119 BA88:BB99">
    <cfRule type="expression" dxfId="17" priority="3" stopIfTrue="1">
      <formula>IF($H$8="3D",TRUE,FALSE)</formula>
    </cfRule>
  </conditionalFormatting>
  <conditionalFormatting sqref="F18:Q49">
    <cfRule type="expression" dxfId="16" priority="4" stopIfTrue="1">
      <formula>IF($F$57=$E18,TRUE,FALSE)</formula>
    </cfRule>
  </conditionalFormatting>
  <pageMargins left="0.5" right="0" top="0.25" bottom="0" header="0" footer="0"/>
  <pageSetup scale="95" orientation="portrait" horizont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AU100"/>
  <sheetViews>
    <sheetView topLeftCell="E10" workbookViewId="0">
      <selection activeCell="I35" sqref="I35"/>
    </sheetView>
  </sheetViews>
  <sheetFormatPr defaultRowHeight="11.25"/>
  <cols>
    <col min="1" max="23" width="9.140625" style="243"/>
    <col min="24" max="26" width="9.140625" style="207"/>
    <col min="27" max="27" width="14.140625" style="207" customWidth="1"/>
    <col min="28" max="28" width="18.85546875" style="206" customWidth="1"/>
    <col min="29" max="29" width="17.42578125" style="207" customWidth="1"/>
    <col min="30" max="30" width="10.7109375" style="207" customWidth="1"/>
    <col min="31" max="31" width="16.42578125" style="207" customWidth="1"/>
    <col min="32" max="32" width="13" style="207" customWidth="1"/>
    <col min="33" max="33" width="17.140625" style="207" customWidth="1"/>
    <col min="34" max="34" width="10.7109375" style="207" customWidth="1"/>
    <col min="35" max="35" width="11" style="207" customWidth="1"/>
    <col min="36" max="47" width="9.140625" style="207"/>
    <col min="48" max="16384" width="9.140625" style="243"/>
  </cols>
  <sheetData>
    <row r="1" spans="1:29">
      <c r="A1" s="207"/>
      <c r="B1" s="207"/>
      <c r="C1" s="206" t="s">
        <v>385</v>
      </c>
      <c r="D1" s="241"/>
      <c r="E1" s="242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07"/>
      <c r="Q1" s="207"/>
      <c r="R1" s="207"/>
      <c r="S1" s="207"/>
      <c r="T1" s="207"/>
      <c r="U1" s="207"/>
      <c r="V1" s="207"/>
      <c r="W1" s="207"/>
    </row>
    <row r="2" spans="1:29">
      <c r="A2" s="207"/>
      <c r="B2" s="207"/>
      <c r="C2" s="241"/>
      <c r="D2" s="241"/>
      <c r="E2" s="242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07"/>
      <c r="Q2" s="207"/>
      <c r="R2" s="207"/>
      <c r="S2" s="207"/>
      <c r="T2" s="207"/>
      <c r="U2" s="207"/>
      <c r="V2" s="207"/>
      <c r="W2" s="207"/>
    </row>
    <row r="3" spans="1:29">
      <c r="A3" s="207"/>
      <c r="B3" s="207"/>
      <c r="C3" s="206"/>
      <c r="D3" s="244" t="s">
        <v>445</v>
      </c>
      <c r="E3" s="242"/>
      <c r="F3" s="206"/>
      <c r="G3" s="206" t="s">
        <v>386</v>
      </c>
      <c r="H3" s="245">
        <v>15818</v>
      </c>
      <c r="I3" s="206" t="s">
        <v>387</v>
      </c>
      <c r="J3" s="246">
        <v>1</v>
      </c>
      <c r="K3" s="241" t="s">
        <v>388</v>
      </c>
      <c r="L3" s="247">
        <v>0</v>
      </c>
      <c r="M3" s="241" t="s">
        <v>389</v>
      </c>
      <c r="N3" s="248">
        <v>15818</v>
      </c>
      <c r="O3" s="206" t="s">
        <v>390</v>
      </c>
      <c r="P3" s="207"/>
      <c r="Q3" s="207"/>
      <c r="R3" s="207"/>
      <c r="S3" s="207"/>
      <c r="T3" s="207"/>
      <c r="U3" s="207"/>
      <c r="V3" s="207"/>
      <c r="W3" s="207"/>
    </row>
    <row r="4" spans="1:29">
      <c r="A4" s="207"/>
      <c r="B4" s="207"/>
      <c r="C4" s="249"/>
      <c r="D4" s="244"/>
      <c r="E4" s="250"/>
      <c r="F4" s="202"/>
      <c r="G4" s="206" t="s">
        <v>446</v>
      </c>
      <c r="H4" s="251" t="s">
        <v>607</v>
      </c>
      <c r="I4" s="206" t="s">
        <v>391</v>
      </c>
      <c r="J4" s="251" t="s">
        <v>608</v>
      </c>
      <c r="K4" s="241" t="s">
        <v>388</v>
      </c>
      <c r="L4" s="251" t="s">
        <v>609</v>
      </c>
      <c r="M4" s="241" t="s">
        <v>389</v>
      </c>
      <c r="N4" s="251" t="s">
        <v>607</v>
      </c>
      <c r="O4" s="206" t="s">
        <v>390</v>
      </c>
      <c r="P4" s="207"/>
      <c r="Q4" s="207"/>
      <c r="R4" s="207"/>
      <c r="S4" s="207" t="s">
        <v>610</v>
      </c>
      <c r="T4" s="207"/>
      <c r="U4" s="207"/>
      <c r="V4" s="207"/>
      <c r="W4" s="207"/>
    </row>
    <row r="5" spans="1:29">
      <c r="A5" s="207"/>
      <c r="B5" s="207"/>
      <c r="C5" s="202"/>
      <c r="D5" s="251"/>
      <c r="E5" s="252"/>
      <c r="F5" s="253"/>
      <c r="G5" s="202"/>
      <c r="H5" s="251"/>
      <c r="I5" s="251"/>
      <c r="J5" s="254"/>
      <c r="K5" s="255"/>
      <c r="L5" s="251"/>
      <c r="M5" s="244"/>
      <c r="N5" s="244"/>
      <c r="O5" s="249"/>
      <c r="P5" s="207" t="s">
        <v>611</v>
      </c>
      <c r="Q5" s="207"/>
      <c r="R5" s="207"/>
      <c r="S5" s="207"/>
      <c r="T5" s="207"/>
      <c r="U5" s="207"/>
      <c r="V5" s="207"/>
      <c r="W5" s="207"/>
    </row>
    <row r="6" spans="1:29">
      <c r="A6" s="207"/>
      <c r="B6" s="243" t="s">
        <v>392</v>
      </c>
      <c r="C6" s="256" t="s">
        <v>612</v>
      </c>
      <c r="E6" s="252"/>
      <c r="F6" s="251"/>
      <c r="G6" s="202" t="s">
        <v>393</v>
      </c>
      <c r="H6" s="251" t="s">
        <v>607</v>
      </c>
      <c r="I6" s="251" t="s">
        <v>390</v>
      </c>
      <c r="J6" s="254"/>
      <c r="K6" s="255"/>
      <c r="L6" s="251"/>
      <c r="M6" s="244"/>
      <c r="N6" s="244"/>
      <c r="O6" s="249"/>
      <c r="P6" s="207"/>
      <c r="Q6" s="207"/>
      <c r="R6" s="207"/>
      <c r="S6" s="207"/>
      <c r="T6" s="207"/>
      <c r="U6" s="207"/>
      <c r="V6" s="207"/>
      <c r="W6" s="207"/>
    </row>
    <row r="7" spans="1:29">
      <c r="C7" s="256"/>
      <c r="P7" s="243">
        <v>0.75</v>
      </c>
      <c r="Q7" s="243" t="s">
        <v>394</v>
      </c>
    </row>
    <row r="8" spans="1:29">
      <c r="C8" s="256" t="s">
        <v>613</v>
      </c>
      <c r="G8" s="202" t="s">
        <v>393</v>
      </c>
      <c r="I8" s="257" t="s">
        <v>395</v>
      </c>
      <c r="J8" s="243" t="s">
        <v>284</v>
      </c>
      <c r="P8" s="243">
        <v>1</v>
      </c>
      <c r="Q8" s="243" t="s">
        <v>396</v>
      </c>
      <c r="AC8" s="207" t="s">
        <v>522</v>
      </c>
    </row>
    <row r="9" spans="1:29">
      <c r="C9" s="256" t="s">
        <v>614</v>
      </c>
      <c r="G9" s="202" t="s">
        <v>397</v>
      </c>
      <c r="H9" s="258"/>
      <c r="I9" s="243" t="s">
        <v>93</v>
      </c>
      <c r="J9" s="259"/>
      <c r="K9" s="243" t="s">
        <v>66</v>
      </c>
      <c r="P9" s="243">
        <v>1.25</v>
      </c>
      <c r="Q9" s="243" t="s">
        <v>398</v>
      </c>
    </row>
    <row r="10" spans="1:29">
      <c r="C10" s="256" t="s">
        <v>615</v>
      </c>
      <c r="G10" s="202" t="s">
        <v>397</v>
      </c>
      <c r="H10" s="258"/>
      <c r="I10" s="243" t="s">
        <v>93</v>
      </c>
      <c r="K10" s="243" t="s">
        <v>66</v>
      </c>
      <c r="L10" s="260"/>
      <c r="M10" s="243" t="s">
        <v>66</v>
      </c>
      <c r="N10" s="260"/>
      <c r="P10" s="243">
        <v>1.5</v>
      </c>
      <c r="Q10" s="243" t="s">
        <v>399</v>
      </c>
      <c r="AB10" s="206" t="s">
        <v>134</v>
      </c>
      <c r="AC10" s="207">
        <v>0</v>
      </c>
    </row>
    <row r="11" spans="1:29">
      <c r="C11" s="256" t="s">
        <v>397</v>
      </c>
      <c r="G11" s="202" t="s">
        <v>397</v>
      </c>
      <c r="P11" s="243">
        <v>2</v>
      </c>
      <c r="Q11" s="243" t="s">
        <v>400</v>
      </c>
      <c r="AB11" s="206" t="s">
        <v>135</v>
      </c>
      <c r="AC11" s="207">
        <v>0</v>
      </c>
    </row>
    <row r="12" spans="1:29">
      <c r="C12" s="256"/>
      <c r="P12" s="243">
        <v>2.5</v>
      </c>
      <c r="Q12" s="243" t="s">
        <v>401</v>
      </c>
      <c r="AB12" s="206" t="s">
        <v>136</v>
      </c>
      <c r="AC12" s="207">
        <v>1</v>
      </c>
    </row>
    <row r="13" spans="1:29">
      <c r="C13" s="256"/>
      <c r="P13" s="243">
        <v>3</v>
      </c>
      <c r="Q13" s="243" t="s">
        <v>402</v>
      </c>
      <c r="AB13" s="206" t="s">
        <v>137</v>
      </c>
      <c r="AC13" s="207">
        <v>0</v>
      </c>
    </row>
    <row r="14" spans="1:29">
      <c r="C14" s="256"/>
      <c r="P14" s="243">
        <v>3.5</v>
      </c>
      <c r="Q14" s="243" t="s">
        <v>403</v>
      </c>
      <c r="AB14" s="206" t="s">
        <v>138</v>
      </c>
      <c r="AC14" s="207">
        <v>0</v>
      </c>
    </row>
    <row r="15" spans="1:29">
      <c r="B15" s="243" t="s">
        <v>404</v>
      </c>
      <c r="C15" s="256" t="s">
        <v>616</v>
      </c>
      <c r="G15" s="202" t="s">
        <v>393</v>
      </c>
      <c r="H15" s="260" t="s">
        <v>617</v>
      </c>
      <c r="I15" s="243" t="s">
        <v>390</v>
      </c>
      <c r="P15" s="243">
        <v>4</v>
      </c>
      <c r="Q15" s="243" t="s">
        <v>405</v>
      </c>
      <c r="AB15" s="206" t="s">
        <v>139</v>
      </c>
      <c r="AC15" s="207">
        <v>0</v>
      </c>
    </row>
    <row r="16" spans="1:29">
      <c r="AB16" s="206" t="s">
        <v>140</v>
      </c>
      <c r="AC16" s="207">
        <v>0</v>
      </c>
    </row>
    <row r="17" spans="1:37">
      <c r="AB17" s="206" t="s">
        <v>141</v>
      </c>
      <c r="AC17" s="207">
        <v>0</v>
      </c>
    </row>
    <row r="19" spans="1:37">
      <c r="A19" s="207"/>
      <c r="B19" s="207"/>
      <c r="C19" s="249" t="s">
        <v>406</v>
      </c>
      <c r="D19" s="206"/>
      <c r="E19" s="206"/>
      <c r="F19" s="241"/>
      <c r="G19" s="241"/>
      <c r="H19" s="207"/>
      <c r="I19" s="207"/>
      <c r="J19" s="207"/>
      <c r="K19" s="207"/>
      <c r="L19" s="207"/>
      <c r="M19" s="207"/>
      <c r="N19" s="207"/>
      <c r="O19" s="207"/>
      <c r="P19" s="207"/>
      <c r="AB19" s="206" t="s">
        <v>407</v>
      </c>
      <c r="AC19" s="207">
        <v>5</v>
      </c>
    </row>
    <row r="20" spans="1:37">
      <c r="A20" s="207"/>
      <c r="B20" s="207"/>
      <c r="C20" s="249" t="s">
        <v>275</v>
      </c>
      <c r="D20" s="202"/>
      <c r="E20" s="202"/>
      <c r="F20" s="202"/>
      <c r="G20" s="202"/>
      <c r="H20" s="261"/>
      <c r="I20" s="261"/>
      <c r="J20" s="261"/>
      <c r="K20" s="261"/>
      <c r="L20" s="261"/>
      <c r="M20" s="261"/>
      <c r="N20" s="207"/>
      <c r="O20" s="207"/>
      <c r="P20" s="241"/>
      <c r="AB20" s="206" t="s">
        <v>408</v>
      </c>
      <c r="AC20" s="207">
        <v>1</v>
      </c>
    </row>
    <row r="21" spans="1:37">
      <c r="A21" s="207"/>
      <c r="B21" s="207" t="s">
        <v>409</v>
      </c>
      <c r="C21" s="202" t="s">
        <v>74</v>
      </c>
      <c r="D21" s="262">
        <v>2</v>
      </c>
      <c r="E21" s="263" t="s">
        <v>410</v>
      </c>
      <c r="F21" s="251">
        <v>25</v>
      </c>
      <c r="G21" s="264" t="s">
        <v>411</v>
      </c>
      <c r="H21" s="253">
        <v>15818</v>
      </c>
      <c r="I21" s="251" t="s">
        <v>412</v>
      </c>
      <c r="J21" s="253">
        <v>2353</v>
      </c>
      <c r="K21" s="265" t="s">
        <v>413</v>
      </c>
      <c r="L21" s="251">
        <v>1</v>
      </c>
      <c r="M21" s="266" t="s">
        <v>414</v>
      </c>
      <c r="N21" s="267">
        <v>240</v>
      </c>
      <c r="O21" s="268" t="s">
        <v>415</v>
      </c>
      <c r="P21" s="269">
        <v>1.401</v>
      </c>
      <c r="R21" s="270" t="s">
        <v>416</v>
      </c>
      <c r="S21" s="270" t="s">
        <v>417</v>
      </c>
    </row>
    <row r="22" spans="1:37">
      <c r="A22" s="207"/>
      <c r="B22" s="207"/>
      <c r="C22" s="202" t="s">
        <v>74</v>
      </c>
      <c r="D22" s="251" t="s">
        <v>618</v>
      </c>
      <c r="E22" s="263" t="s">
        <v>76</v>
      </c>
      <c r="F22" s="251" t="s">
        <v>619</v>
      </c>
      <c r="G22" s="264" t="s">
        <v>418</v>
      </c>
      <c r="H22" s="251" t="s">
        <v>607</v>
      </c>
      <c r="I22" s="271" t="s">
        <v>412</v>
      </c>
      <c r="J22" s="251" t="s">
        <v>620</v>
      </c>
      <c r="K22" s="265" t="s">
        <v>419</v>
      </c>
      <c r="L22" s="251" t="s">
        <v>621</v>
      </c>
      <c r="M22" s="266" t="s">
        <v>420</v>
      </c>
      <c r="N22" s="251" t="s">
        <v>622</v>
      </c>
      <c r="O22" s="268" t="s">
        <v>415</v>
      </c>
      <c r="P22" s="251" t="s">
        <v>623</v>
      </c>
      <c r="R22" s="270" t="s">
        <v>416</v>
      </c>
      <c r="S22" s="270" t="s">
        <v>624</v>
      </c>
      <c r="AB22" s="206" t="s">
        <v>421</v>
      </c>
      <c r="AC22" s="207">
        <v>6</v>
      </c>
    </row>
    <row r="23" spans="1:37">
      <c r="A23" s="207"/>
      <c r="B23" s="207"/>
      <c r="C23" s="202"/>
      <c r="D23" s="263"/>
      <c r="E23" s="263"/>
      <c r="F23" s="264"/>
      <c r="G23" s="264"/>
      <c r="H23" s="271"/>
      <c r="I23" s="271"/>
      <c r="J23" s="265"/>
      <c r="K23" s="265"/>
      <c r="L23" s="266"/>
      <c r="M23" s="266"/>
      <c r="N23" s="268"/>
      <c r="O23" s="268"/>
      <c r="P23" s="270"/>
      <c r="R23" s="270"/>
      <c r="S23" s="270"/>
    </row>
    <row r="24" spans="1:37">
      <c r="A24" s="207"/>
      <c r="B24" s="207"/>
      <c r="C24" s="249" t="s">
        <v>422</v>
      </c>
      <c r="D24" s="202"/>
      <c r="E24" s="202"/>
      <c r="F24" s="202"/>
      <c r="G24" s="202"/>
      <c r="H24" s="261"/>
      <c r="I24" s="261"/>
      <c r="J24" s="202"/>
      <c r="K24" s="261"/>
      <c r="L24" s="261"/>
      <c r="M24" s="261"/>
      <c r="N24" s="207"/>
      <c r="O24" s="207"/>
      <c r="P24" s="207"/>
      <c r="R24" s="207"/>
      <c r="S24" s="207"/>
    </row>
    <row r="25" spans="1:37">
      <c r="A25" s="207"/>
      <c r="B25" s="207" t="s">
        <v>423</v>
      </c>
      <c r="C25" s="241" t="s">
        <v>291</v>
      </c>
      <c r="D25" s="267">
        <v>1</v>
      </c>
      <c r="E25" s="271" t="s">
        <v>424</v>
      </c>
      <c r="F25" s="267">
        <v>1</v>
      </c>
      <c r="G25" s="272" t="s">
        <v>425</v>
      </c>
      <c r="H25" s="269">
        <v>1.401</v>
      </c>
      <c r="I25" s="273" t="s">
        <v>426</v>
      </c>
      <c r="J25" s="269">
        <v>0.41599999999999998</v>
      </c>
      <c r="K25" s="274" t="s">
        <v>427</v>
      </c>
      <c r="L25" s="202"/>
      <c r="M25" s="202"/>
      <c r="N25" s="207"/>
      <c r="O25" s="207"/>
      <c r="P25" s="207"/>
      <c r="R25" s="207"/>
      <c r="S25" s="270" t="s">
        <v>417</v>
      </c>
    </row>
    <row r="26" spans="1:37">
      <c r="A26" s="207"/>
      <c r="B26" s="207"/>
      <c r="C26" s="241" t="s">
        <v>74</v>
      </c>
      <c r="D26" s="251" t="s">
        <v>621</v>
      </c>
      <c r="E26" s="271" t="s">
        <v>424</v>
      </c>
      <c r="F26" s="251" t="s">
        <v>621</v>
      </c>
      <c r="G26" s="272" t="s">
        <v>425</v>
      </c>
      <c r="H26" s="251" t="s">
        <v>623</v>
      </c>
      <c r="I26" s="273" t="s">
        <v>426</v>
      </c>
      <c r="J26" s="251" t="s">
        <v>625</v>
      </c>
      <c r="K26" s="274" t="s">
        <v>427</v>
      </c>
      <c r="L26" s="202"/>
      <c r="M26" s="202"/>
      <c r="N26" s="207"/>
      <c r="O26" s="207"/>
      <c r="P26" s="207"/>
      <c r="R26" s="207"/>
      <c r="S26" s="270" t="s">
        <v>626</v>
      </c>
    </row>
    <row r="27" spans="1:37">
      <c r="A27" s="207"/>
      <c r="B27" s="207"/>
      <c r="C27" s="241"/>
      <c r="D27" s="275"/>
      <c r="E27" s="275"/>
      <c r="F27" s="272"/>
      <c r="G27" s="272"/>
      <c r="H27" s="273"/>
      <c r="I27" s="273"/>
      <c r="J27" s="274"/>
      <c r="K27" s="274"/>
      <c r="L27" s="202"/>
      <c r="M27" s="202"/>
      <c r="N27" s="207"/>
      <c r="O27" s="207"/>
      <c r="P27" s="207"/>
      <c r="R27" s="207"/>
      <c r="S27" s="207"/>
      <c r="AB27" s="206">
        <v>6</v>
      </c>
      <c r="AC27" s="276"/>
    </row>
    <row r="28" spans="1:37">
      <c r="A28" s="207"/>
      <c r="B28" s="207"/>
      <c r="C28" s="206" t="s">
        <v>428</v>
      </c>
      <c r="D28" s="241"/>
      <c r="E28" s="241"/>
      <c r="F28" s="241"/>
      <c r="G28" s="241"/>
      <c r="H28" s="207"/>
      <c r="I28" s="207"/>
      <c r="J28" s="207"/>
      <c r="K28" s="207"/>
      <c r="L28" s="277"/>
      <c r="M28" s="277"/>
      <c r="N28" s="207"/>
      <c r="O28" s="207"/>
      <c r="P28" s="207"/>
      <c r="R28" s="207"/>
      <c r="S28" s="207"/>
    </row>
    <row r="29" spans="1:37">
      <c r="A29" s="207"/>
      <c r="B29" s="207" t="s">
        <v>429</v>
      </c>
      <c r="C29" s="241" t="s">
        <v>74</v>
      </c>
      <c r="D29" s="248">
        <v>15818</v>
      </c>
      <c r="E29" s="278" t="s">
        <v>391</v>
      </c>
      <c r="F29" s="269">
        <v>0.41599999999999998</v>
      </c>
      <c r="G29" s="279" t="s">
        <v>430</v>
      </c>
      <c r="H29" s="248">
        <v>6580.2879999999996</v>
      </c>
      <c r="I29" s="280" t="s">
        <v>431</v>
      </c>
      <c r="J29" s="249"/>
      <c r="K29" s="249"/>
      <c r="L29" s="207"/>
      <c r="M29" s="207"/>
      <c r="N29" s="207"/>
      <c r="O29" s="207"/>
      <c r="P29" s="207"/>
      <c r="R29" s="207"/>
      <c r="S29" s="270" t="s">
        <v>417</v>
      </c>
      <c r="AB29" s="206">
        <v>6</v>
      </c>
      <c r="AD29" s="207">
        <v>1</v>
      </c>
      <c r="AE29" s="207">
        <v>2</v>
      </c>
      <c r="AF29" s="207">
        <v>3</v>
      </c>
      <c r="AG29" s="207">
        <v>4</v>
      </c>
      <c r="AH29" s="285">
        <v>5</v>
      </c>
      <c r="AI29" s="285">
        <v>6</v>
      </c>
      <c r="AJ29" s="285"/>
      <c r="AK29" s="285"/>
    </row>
    <row r="30" spans="1:37">
      <c r="A30" s="207"/>
      <c r="B30" s="207"/>
      <c r="C30" s="241" t="s">
        <v>74</v>
      </c>
      <c r="D30" s="251" t="s">
        <v>607</v>
      </c>
      <c r="E30" s="278" t="s">
        <v>391</v>
      </c>
      <c r="F30" s="251" t="s">
        <v>625</v>
      </c>
      <c r="G30" s="279" t="s">
        <v>430</v>
      </c>
      <c r="H30" s="251" t="s">
        <v>617</v>
      </c>
      <c r="I30" s="280" t="s">
        <v>431</v>
      </c>
      <c r="J30" s="249"/>
      <c r="K30" s="249"/>
      <c r="L30" s="207" t="s">
        <v>627</v>
      </c>
      <c r="M30" s="207"/>
      <c r="N30" s="207"/>
      <c r="O30" s="207"/>
      <c r="P30" s="207"/>
      <c r="R30" s="207"/>
      <c r="S30" s="270" t="s">
        <v>628</v>
      </c>
      <c r="AB30" s="206" t="s">
        <v>443</v>
      </c>
      <c r="AC30" s="207" t="s">
        <v>432</v>
      </c>
      <c r="AD30" s="276" t="s">
        <v>433</v>
      </c>
      <c r="AE30" s="276" t="s">
        <v>434</v>
      </c>
      <c r="AF30" s="276" t="s">
        <v>433</v>
      </c>
      <c r="AG30" s="276" t="s">
        <v>434</v>
      </c>
      <c r="AH30" s="285" t="s">
        <v>443</v>
      </c>
      <c r="AI30" s="285" t="s">
        <v>443</v>
      </c>
      <c r="AJ30" s="285"/>
      <c r="AK30" s="285"/>
    </row>
    <row r="31" spans="1:37">
      <c r="A31" s="207"/>
      <c r="B31" s="207"/>
      <c r="C31" s="202"/>
      <c r="D31" s="251"/>
      <c r="E31" s="202"/>
      <c r="F31" s="249"/>
      <c r="G31" s="249"/>
      <c r="H31" s="206"/>
      <c r="I31" s="202"/>
      <c r="J31" s="241"/>
      <c r="K31" s="241"/>
      <c r="L31" s="202"/>
      <c r="M31" s="202"/>
      <c r="N31" s="207"/>
      <c r="O31" s="207"/>
      <c r="P31" s="207"/>
      <c r="AB31" s="206" t="s">
        <v>442</v>
      </c>
      <c r="AD31" s="207" t="s">
        <v>435</v>
      </c>
      <c r="AE31" s="207" t="s">
        <v>435</v>
      </c>
      <c r="AF31" s="207" t="s">
        <v>435</v>
      </c>
      <c r="AG31" s="207" t="s">
        <v>435</v>
      </c>
      <c r="AH31" s="285" t="s">
        <v>442</v>
      </c>
      <c r="AI31" s="285" t="s">
        <v>442</v>
      </c>
      <c r="AJ31" s="285"/>
      <c r="AK31" s="285"/>
    </row>
    <row r="32" spans="1:37">
      <c r="A32" s="207"/>
      <c r="B32" s="207"/>
      <c r="C32" s="202"/>
      <c r="D32" s="277"/>
      <c r="E32" s="281" t="s">
        <v>628</v>
      </c>
      <c r="F32" s="282"/>
      <c r="G32" s="282"/>
      <c r="H32" s="253"/>
      <c r="I32" s="253"/>
      <c r="J32" s="241"/>
      <c r="K32" s="241"/>
      <c r="L32" s="202"/>
      <c r="M32" s="202"/>
      <c r="N32" s="207"/>
      <c r="O32" s="207"/>
      <c r="P32" s="207"/>
      <c r="X32" s="207" t="s">
        <v>436</v>
      </c>
      <c r="Y32" s="276" t="s">
        <v>161</v>
      </c>
      <c r="Z32" s="207">
        <v>6</v>
      </c>
      <c r="AB32" s="206" t="s">
        <v>160</v>
      </c>
      <c r="AD32" s="207" t="s">
        <v>437</v>
      </c>
      <c r="AE32" s="207" t="s">
        <v>437</v>
      </c>
      <c r="AF32" s="207" t="s">
        <v>438</v>
      </c>
      <c r="AG32" s="207" t="s">
        <v>438</v>
      </c>
      <c r="AH32" s="285" t="s">
        <v>159</v>
      </c>
      <c r="AI32" s="285" t="s">
        <v>160</v>
      </c>
      <c r="AJ32" s="285"/>
      <c r="AK32" s="285"/>
    </row>
    <row r="33" spans="8:35">
      <c r="V33" s="243" t="s">
        <v>161</v>
      </c>
      <c r="Y33" s="276"/>
      <c r="AA33" s="207">
        <v>1</v>
      </c>
      <c r="AB33" s="206">
        <v>237</v>
      </c>
      <c r="AC33" s="207" t="s">
        <v>439</v>
      </c>
      <c r="AD33" s="207">
        <v>389</v>
      </c>
      <c r="AE33" s="207">
        <v>389</v>
      </c>
      <c r="AF33" s="207">
        <v>237</v>
      </c>
      <c r="AG33" s="207">
        <v>237</v>
      </c>
      <c r="AH33" s="207">
        <v>389</v>
      </c>
      <c r="AI33" s="207">
        <v>237</v>
      </c>
    </row>
    <row r="34" spans="8:35">
      <c r="H34" s="483"/>
      <c r="V34" s="243" t="s">
        <v>161</v>
      </c>
      <c r="Y34" s="276"/>
      <c r="AA34" s="207">
        <v>2</v>
      </c>
      <c r="AB34" s="206">
        <v>376</v>
      </c>
      <c r="AC34" s="207" t="s">
        <v>440</v>
      </c>
      <c r="AD34" s="207">
        <v>617</v>
      </c>
      <c r="AE34" s="207">
        <v>617</v>
      </c>
      <c r="AF34" s="207">
        <v>376</v>
      </c>
      <c r="AG34" s="207">
        <v>376</v>
      </c>
      <c r="AH34" s="207">
        <v>617</v>
      </c>
      <c r="AI34" s="207">
        <v>376</v>
      </c>
    </row>
    <row r="35" spans="8:35">
      <c r="H35" s="251"/>
      <c r="Y35" s="276"/>
      <c r="AA35" s="207">
        <v>3</v>
      </c>
      <c r="AB35" s="206">
        <v>599</v>
      </c>
      <c r="AC35" s="207" t="s">
        <v>214</v>
      </c>
      <c r="AD35" s="207">
        <v>981</v>
      </c>
      <c r="AE35" s="207">
        <v>982</v>
      </c>
      <c r="AF35" s="207">
        <v>599</v>
      </c>
      <c r="AG35" s="207">
        <v>599</v>
      </c>
      <c r="AH35" s="207">
        <v>982</v>
      </c>
      <c r="AI35" s="207">
        <v>599</v>
      </c>
    </row>
    <row r="36" spans="8:35">
      <c r="Y36" s="276"/>
      <c r="AA36" s="207">
        <v>4</v>
      </c>
      <c r="AB36" s="206">
        <v>952</v>
      </c>
      <c r="AC36" s="207" t="s">
        <v>217</v>
      </c>
      <c r="AD36" s="207">
        <v>1557</v>
      </c>
      <c r="AE36" s="207">
        <v>1559</v>
      </c>
      <c r="AF36" s="207">
        <v>951</v>
      </c>
      <c r="AG36" s="207">
        <v>952</v>
      </c>
      <c r="AH36" s="207">
        <v>1560</v>
      </c>
      <c r="AI36" s="207">
        <v>952</v>
      </c>
    </row>
    <row r="37" spans="8:35">
      <c r="Y37" s="276"/>
      <c r="AA37" s="207">
        <v>5</v>
      </c>
      <c r="AB37" s="206">
        <v>1482</v>
      </c>
      <c r="AC37" s="207" t="s">
        <v>158</v>
      </c>
      <c r="AD37" s="207">
        <v>2425</v>
      </c>
      <c r="AE37" s="207">
        <v>2430</v>
      </c>
      <c r="AF37" s="207">
        <v>1481</v>
      </c>
      <c r="AG37" s="207">
        <v>1482</v>
      </c>
      <c r="AH37" s="207">
        <v>2433</v>
      </c>
      <c r="AI37" s="207">
        <v>1482</v>
      </c>
    </row>
    <row r="38" spans="8:35">
      <c r="Y38" s="276"/>
      <c r="AA38" s="207">
        <v>6</v>
      </c>
      <c r="AB38" s="206">
        <v>2353</v>
      </c>
      <c r="AC38" s="207" t="s">
        <v>161</v>
      </c>
      <c r="AD38" s="207">
        <v>3806</v>
      </c>
      <c r="AE38" s="207">
        <v>3826</v>
      </c>
      <c r="AF38" s="207">
        <v>2346</v>
      </c>
      <c r="AG38" s="207">
        <v>2350</v>
      </c>
      <c r="AH38" s="207">
        <v>3838</v>
      </c>
      <c r="AI38" s="207">
        <v>2353</v>
      </c>
    </row>
    <row r="39" spans="8:35">
      <c r="Y39" s="276"/>
      <c r="AA39" s="207">
        <v>7</v>
      </c>
      <c r="AB39" s="206">
        <v>2966</v>
      </c>
      <c r="AC39" s="207" t="s">
        <v>163</v>
      </c>
      <c r="AD39" s="207">
        <v>4774</v>
      </c>
      <c r="AE39" s="207">
        <v>4811</v>
      </c>
      <c r="AF39" s="207">
        <v>2952</v>
      </c>
      <c r="AG39" s="207">
        <v>2961</v>
      </c>
      <c r="AH39" s="207">
        <v>4833</v>
      </c>
      <c r="AI39" s="207">
        <v>2966</v>
      </c>
    </row>
    <row r="40" spans="8:35">
      <c r="AA40" s="207">
        <v>8</v>
      </c>
      <c r="AB40" s="206">
        <v>3740</v>
      </c>
      <c r="AC40" s="207" t="s">
        <v>162</v>
      </c>
      <c r="AD40" s="207">
        <v>5907</v>
      </c>
      <c r="AE40" s="207">
        <v>6044</v>
      </c>
      <c r="AF40" s="207">
        <v>3713</v>
      </c>
      <c r="AG40" s="207">
        <v>3730</v>
      </c>
      <c r="AH40" s="207">
        <v>6087</v>
      </c>
      <c r="AI40" s="207">
        <v>3740</v>
      </c>
    </row>
    <row r="41" spans="8:35">
      <c r="Z41" s="207">
        <v>6</v>
      </c>
      <c r="AA41" s="207">
        <v>9</v>
      </c>
      <c r="AB41" s="206">
        <v>4699</v>
      </c>
      <c r="AC41" s="207" t="s">
        <v>164</v>
      </c>
      <c r="AD41" s="207">
        <v>7293</v>
      </c>
      <c r="AE41" s="207">
        <v>7493</v>
      </c>
      <c r="AF41" s="207">
        <v>4645</v>
      </c>
      <c r="AG41" s="207">
        <v>4678</v>
      </c>
      <c r="AH41" s="207">
        <v>7579</v>
      </c>
      <c r="AI41" s="207">
        <v>4699</v>
      </c>
    </row>
    <row r="42" spans="8:35">
      <c r="X42" s="276"/>
      <c r="AA42" s="207">
        <v>10</v>
      </c>
      <c r="AB42" s="206">
        <v>5876</v>
      </c>
      <c r="AC42" s="207" t="s">
        <v>165</v>
      </c>
      <c r="AD42" s="207">
        <v>8925</v>
      </c>
      <c r="AE42" s="207">
        <v>9317</v>
      </c>
      <c r="AF42" s="207">
        <v>5777</v>
      </c>
      <c r="AG42" s="207">
        <v>5838</v>
      </c>
      <c r="AH42" s="207">
        <v>9473</v>
      </c>
      <c r="AI42" s="207">
        <v>5876</v>
      </c>
    </row>
    <row r="43" spans="8:35">
      <c r="X43" s="242"/>
      <c r="Y43" s="242"/>
      <c r="AA43" s="207">
        <v>11</v>
      </c>
      <c r="AB43" s="206">
        <v>7373</v>
      </c>
      <c r="AC43" s="207" t="s">
        <v>166</v>
      </c>
      <c r="AD43" s="207">
        <v>10755</v>
      </c>
      <c r="AE43" s="207">
        <v>11424</v>
      </c>
      <c r="AF43" s="207">
        <v>7187</v>
      </c>
      <c r="AG43" s="207">
        <v>7301</v>
      </c>
      <c r="AH43" s="207">
        <v>11703</v>
      </c>
      <c r="AI43" s="207">
        <v>7373</v>
      </c>
    </row>
    <row r="44" spans="8:35">
      <c r="X44" s="242"/>
      <c r="Y44" s="242"/>
      <c r="AA44" s="207">
        <v>12</v>
      </c>
      <c r="AB44" s="206">
        <v>9243</v>
      </c>
      <c r="AC44" s="207" t="s">
        <v>169</v>
      </c>
      <c r="AD44" s="207">
        <v>12844</v>
      </c>
      <c r="AE44" s="207">
        <v>13923</v>
      </c>
      <c r="AF44" s="207">
        <v>8826</v>
      </c>
      <c r="AG44" s="207">
        <v>9110</v>
      </c>
      <c r="AH44" s="207">
        <v>14410</v>
      </c>
      <c r="AI44" s="207">
        <v>9243</v>
      </c>
    </row>
    <row r="45" spans="8:35">
      <c r="X45" s="242"/>
      <c r="Y45" s="242"/>
      <c r="AA45" s="207">
        <v>13</v>
      </c>
      <c r="AB45" s="206">
        <v>11409</v>
      </c>
      <c r="AC45" s="207" t="s">
        <v>170</v>
      </c>
      <c r="AD45" s="207">
        <v>15082</v>
      </c>
      <c r="AE45" s="207">
        <v>16673</v>
      </c>
      <c r="AF45" s="207">
        <v>10741</v>
      </c>
      <c r="AG45" s="207">
        <v>11174</v>
      </c>
      <c r="AH45" s="207">
        <v>17438</v>
      </c>
      <c r="AI45" s="207">
        <v>11409</v>
      </c>
    </row>
    <row r="46" spans="8:35">
      <c r="X46" s="242"/>
      <c r="Y46" s="242"/>
      <c r="AA46" s="207">
        <v>14</v>
      </c>
      <c r="AB46" s="206">
        <v>13236</v>
      </c>
      <c r="AC46" s="207" t="s">
        <v>172</v>
      </c>
      <c r="AD46" s="207">
        <v>16483</v>
      </c>
      <c r="AE46" s="207">
        <v>18594</v>
      </c>
      <c r="AF46" s="207">
        <v>12122</v>
      </c>
      <c r="AG46" s="207">
        <v>12862</v>
      </c>
      <c r="AH46" s="207">
        <v>19779</v>
      </c>
      <c r="AI46" s="207">
        <v>13236</v>
      </c>
    </row>
    <row r="47" spans="8:35">
      <c r="X47" s="242"/>
      <c r="Y47" s="242"/>
      <c r="Z47" s="242"/>
      <c r="AA47" s="207">
        <v>15</v>
      </c>
      <c r="AB47" s="206">
        <v>15495</v>
      </c>
      <c r="AC47" s="207" t="s">
        <v>173</v>
      </c>
      <c r="AD47" s="207">
        <v>18177</v>
      </c>
      <c r="AE47" s="207">
        <v>20868</v>
      </c>
      <c r="AF47" s="207">
        <v>13910</v>
      </c>
      <c r="AG47" s="207">
        <v>14923</v>
      </c>
      <c r="AH47" s="207">
        <v>22525</v>
      </c>
      <c r="AI47" s="207">
        <v>15495</v>
      </c>
    </row>
    <row r="48" spans="8:35">
      <c r="AA48" s="207">
        <v>16</v>
      </c>
      <c r="AB48" s="206">
        <v>17635</v>
      </c>
      <c r="AC48" s="207" t="s">
        <v>175</v>
      </c>
      <c r="AD48" s="207">
        <v>19704</v>
      </c>
      <c r="AE48" s="207">
        <v>22737</v>
      </c>
      <c r="AF48" s="207">
        <v>15484</v>
      </c>
      <c r="AG48" s="207">
        <v>16813</v>
      </c>
      <c r="AH48" s="207">
        <v>24904</v>
      </c>
      <c r="AI48" s="207">
        <v>17635</v>
      </c>
    </row>
    <row r="49" spans="24:35">
      <c r="X49" s="242"/>
      <c r="AA49" s="207">
        <v>17</v>
      </c>
      <c r="AB49" s="206">
        <v>19588</v>
      </c>
      <c r="AC49" s="207" t="s">
        <v>176</v>
      </c>
      <c r="AD49" s="207">
        <v>20566</v>
      </c>
      <c r="AE49" s="207">
        <v>24297</v>
      </c>
      <c r="AF49" s="207">
        <v>16671</v>
      </c>
      <c r="AG49" s="207">
        <v>18506</v>
      </c>
      <c r="AH49" s="207">
        <v>26916</v>
      </c>
      <c r="AI49" s="207">
        <v>19588</v>
      </c>
    </row>
    <row r="50" spans="24:35">
      <c r="X50" s="242"/>
      <c r="Y50" s="242"/>
      <c r="AA50" s="207">
        <v>18</v>
      </c>
      <c r="AB50" s="206">
        <v>23018</v>
      </c>
      <c r="AC50" s="207" t="s">
        <v>177</v>
      </c>
      <c r="AD50" s="207">
        <v>22185</v>
      </c>
      <c r="AE50" s="207">
        <v>26706</v>
      </c>
      <c r="AF50" s="207">
        <v>18756</v>
      </c>
      <c r="AG50" s="207">
        <v>21391</v>
      </c>
      <c r="AH50" s="207">
        <v>30096</v>
      </c>
      <c r="AI50" s="207">
        <v>23018</v>
      </c>
    </row>
    <row r="55" spans="24:35">
      <c r="AA55" s="207">
        <v>2353</v>
      </c>
      <c r="AB55" s="206" t="s">
        <v>161</v>
      </c>
    </row>
    <row r="58" spans="24:35">
      <c r="AB58" s="207"/>
    </row>
    <row r="59" spans="24:35">
      <c r="Y59" s="276"/>
      <c r="AB59" s="207"/>
    </row>
    <row r="60" spans="24:35">
      <c r="Y60" s="276"/>
      <c r="AB60" s="207"/>
    </row>
    <row r="61" spans="24:35">
      <c r="Y61" s="276"/>
      <c r="AB61" s="207"/>
    </row>
    <row r="62" spans="24:35">
      <c r="AB62" s="207"/>
    </row>
    <row r="63" spans="24:35">
      <c r="AB63" s="207"/>
    </row>
    <row r="64" spans="24:35">
      <c r="AB64" s="207"/>
    </row>
    <row r="65" spans="28:29">
      <c r="AB65" s="207"/>
    </row>
    <row r="66" spans="28:29">
      <c r="AB66" s="207"/>
    </row>
    <row r="67" spans="28:29">
      <c r="AB67" s="207"/>
    </row>
    <row r="68" spans="28:29">
      <c r="AB68" s="207"/>
    </row>
    <row r="69" spans="28:29">
      <c r="AB69" s="207"/>
    </row>
    <row r="70" spans="28:29">
      <c r="AB70" s="207"/>
    </row>
    <row r="73" spans="28:29">
      <c r="AC73" s="283"/>
    </row>
    <row r="74" spans="28:29">
      <c r="AC74" s="206"/>
    </row>
    <row r="75" spans="28:29">
      <c r="AC75" s="284"/>
    </row>
    <row r="76" spans="28:29">
      <c r="AC76" s="206"/>
    </row>
    <row r="77" spans="28:29">
      <c r="AC77" s="285"/>
    </row>
    <row r="78" spans="28:29">
      <c r="AC78" s="285"/>
    </row>
    <row r="79" spans="28:29">
      <c r="AC79" s="285"/>
    </row>
    <row r="80" spans="28:29">
      <c r="AC80" s="285"/>
    </row>
    <row r="81" spans="28:29">
      <c r="AB81" s="285"/>
      <c r="AC81" s="206"/>
    </row>
    <row r="82" spans="28:29">
      <c r="AB82" s="285"/>
      <c r="AC82" s="206"/>
    </row>
    <row r="83" spans="28:29">
      <c r="AB83" s="285"/>
      <c r="AC83" s="206"/>
    </row>
    <row r="84" spans="28:29">
      <c r="AB84" s="285"/>
      <c r="AC84" s="206"/>
    </row>
    <row r="85" spans="28:29">
      <c r="AB85" s="285"/>
      <c r="AC85" s="206"/>
    </row>
    <row r="86" spans="28:29">
      <c r="AB86" s="285"/>
      <c r="AC86" s="206"/>
    </row>
    <row r="87" spans="28:29">
      <c r="AB87" s="285"/>
      <c r="AC87" s="206"/>
    </row>
    <row r="88" spans="28:29">
      <c r="AB88" s="285"/>
      <c r="AC88" s="206"/>
    </row>
    <row r="89" spans="28:29">
      <c r="AB89" s="285"/>
      <c r="AC89" s="206"/>
    </row>
    <row r="90" spans="28:29">
      <c r="AB90" s="285"/>
      <c r="AC90" s="206"/>
    </row>
    <row r="91" spans="28:29">
      <c r="AB91" s="285"/>
      <c r="AC91" s="206"/>
    </row>
    <row r="92" spans="28:29">
      <c r="AB92" s="285"/>
      <c r="AC92" s="206"/>
    </row>
    <row r="93" spans="28:29">
      <c r="AB93" s="285"/>
      <c r="AC93" s="206"/>
    </row>
    <row r="94" spans="28:29">
      <c r="AB94" s="285"/>
      <c r="AC94" s="206"/>
    </row>
    <row r="95" spans="28:29">
      <c r="AB95" s="285"/>
      <c r="AC95" s="206"/>
    </row>
    <row r="96" spans="28:29">
      <c r="AB96" s="285"/>
      <c r="AC96" s="206"/>
    </row>
    <row r="97" spans="28:29">
      <c r="AB97" s="285"/>
      <c r="AC97" s="206"/>
    </row>
    <row r="98" spans="28:29">
      <c r="AB98" s="285"/>
      <c r="AC98" s="206"/>
    </row>
    <row r="99" spans="28:29">
      <c r="AB99" s="285"/>
      <c r="AC99" s="206"/>
    </row>
    <row r="100" spans="28:29">
      <c r="AB100" s="285"/>
      <c r="AC100" s="206"/>
    </row>
  </sheetData>
  <phoneticPr fontId="7" type="noConversion"/>
  <conditionalFormatting sqref="AD30:AD50">
    <cfRule type="expression" dxfId="15" priority="1" stopIfTrue="1">
      <formula>IF(AB$29=1,TRUE,FALSE)</formula>
    </cfRule>
  </conditionalFormatting>
  <conditionalFormatting sqref="AE30:AE50">
    <cfRule type="expression" dxfId="14" priority="2" stopIfTrue="1">
      <formula>IF(AB$29=2,TRUE,FALSE)</formula>
    </cfRule>
  </conditionalFormatting>
  <conditionalFormatting sqref="AF30:AF50">
    <cfRule type="expression" dxfId="13" priority="3" stopIfTrue="1">
      <formula>IF(AB$29=3,TRUE,FALSE)</formula>
    </cfRule>
  </conditionalFormatting>
  <conditionalFormatting sqref="AG30:AG50">
    <cfRule type="expression" dxfId="12" priority="4" stopIfTrue="1">
      <formula>IF(AB$29=4,TRUE,FALSE)</formula>
    </cfRule>
  </conditionalFormatting>
  <conditionalFormatting sqref="AH30:AH50 AI30">
    <cfRule type="expression" dxfId="11" priority="5" stopIfTrue="1">
      <formula>IF(AB$29=5,TRUE,FALSE)</formula>
    </cfRule>
  </conditionalFormatting>
  <conditionalFormatting sqref="AI31:AI50">
    <cfRule type="expression" dxfId="10" priority="6" stopIfTrue="1">
      <formula>IF(AB$29=6,TRUE,FALSE)</formula>
    </cfRule>
  </conditionalFormatting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Input</vt:lpstr>
      <vt:lpstr>Calcs</vt:lpstr>
      <vt:lpstr>Dir Input</vt:lpstr>
      <vt:lpstr>Dir Print</vt:lpstr>
      <vt:lpstr>Opt Calcs</vt:lpstr>
      <vt:lpstr>Std Calcs</vt:lpstr>
      <vt:lpstr>Tables</vt:lpstr>
      <vt:lpstr>Conduit</vt:lpstr>
      <vt:lpstr>Short</vt:lpstr>
      <vt:lpstr>S-Sec Cable</vt:lpstr>
      <vt:lpstr>Export</vt:lpstr>
      <vt:lpstr>Calcs!Print_Area</vt:lpstr>
      <vt:lpstr>'Dir Input'!Print_Area</vt:lpstr>
      <vt:lpstr>'Dir Print'!Print_Area</vt:lpstr>
      <vt:lpstr>Input!Print_Area</vt:lpstr>
      <vt:lpstr>'Opt Calcs'!Print_Area</vt:lpstr>
      <vt:lpstr>Short!Print_Area</vt:lpstr>
      <vt:lpstr>'Std Calcs'!Print_Area</vt:lpstr>
    </vt:vector>
  </TitlesOfParts>
  <Company>Durand and Associates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Copyright 2001 - Durand &amp; Associates</dc:creator>
  <cp:lastModifiedBy>DURAND</cp:lastModifiedBy>
  <cp:lastPrinted>2007-12-24T20:01:55Z</cp:lastPrinted>
  <dcterms:created xsi:type="dcterms:W3CDTF">2001-10-01T21:11:50Z</dcterms:created>
  <dcterms:modified xsi:type="dcterms:W3CDTF">2025-11-05T15:32:55Z</dcterms:modified>
</cp:coreProperties>
</file>