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5" windowWidth="15195" windowHeight="8445" tabRatio="642"/>
  </bookViews>
  <sheets>
    <sheet name="Input" sheetId="1" r:id="rId1"/>
    <sheet name="Conduit" sheetId="15" state="hidden" r:id="rId2"/>
    <sheet name="S-Sec Cable" sheetId="16" state="hidden" r:id="rId3"/>
    <sheet name="VD" sheetId="21" state="hidden" r:id="rId4"/>
    <sheet name="AFC" sheetId="19" state="hidden" r:id="rId5"/>
    <sheet name="Short" sheetId="18" state="hidden" r:id="rId6"/>
    <sheet name="Calcs" sheetId="6" state="hidden" r:id="rId7"/>
    <sheet name="Tables" sheetId="17" state="hidden" r:id="rId8"/>
    <sheet name="Load Calcs" sheetId="27" r:id="rId9"/>
    <sheet name="VD Calcs" sheetId="22" r:id="rId10"/>
    <sheet name="AFC Calcs" sheetId="20" r:id="rId11"/>
    <sheet name="Com Loads" sheetId="25" r:id="rId12"/>
    <sheet name="Import" sheetId="5" state="hidden" r:id="rId13"/>
    <sheet name="Update Check" sheetId="2" state="hidden" r:id="rId14"/>
    <sheet name="HInport" sheetId="24" state="hidden" r:id="rId15"/>
    <sheet name="CInport" sheetId="23" state="hidden" r:id="rId16"/>
    <sheet name="1-Line" sheetId="4" r:id="rId17"/>
  </sheets>
  <definedNames>
    <definedName name="COMM">'1-Line'!$B$34</definedName>
    <definedName name="CP_PANELS">CInport!$B$3</definedName>
    <definedName name="DWELL">'1-Line'!$B$33</definedName>
    <definedName name="ERROR">'1-Line'!$B$22</definedName>
    <definedName name="MAX">'1-Line'!$B$35</definedName>
    <definedName name="_xlnm.Print_Area" localSheetId="6">Calcs!$A$1:$K$76</definedName>
    <definedName name="_xlnm.Print_Area" localSheetId="1">Conduit!#REF!</definedName>
    <definedName name="_xlnm.Print_Area" localSheetId="5">Short!$C$19:$P$35</definedName>
    <definedName name="_xlnm.Print_Area" localSheetId="9">'VD Calcs'!$A$1:$M$42</definedName>
  </definedNames>
  <calcPr calcId="124519"/>
</workbook>
</file>

<file path=xl/calcChain.xml><?xml version="1.0" encoding="utf-8"?>
<calcChain xmlns="http://schemas.openxmlformats.org/spreadsheetml/2006/main">
  <c r="AH7" i="4"/>
  <c r="AN7"/>
  <c r="AT7"/>
  <c r="AZ7"/>
  <c r="BF7"/>
  <c r="BL7"/>
  <c r="BR7"/>
  <c r="BX7"/>
  <c r="CD7"/>
  <c r="CJ7"/>
  <c r="AI9"/>
  <c r="AJ9"/>
  <c r="AO9"/>
  <c r="AP9"/>
  <c r="AU9"/>
  <c r="AV9"/>
  <c r="BA9"/>
  <c r="BB9"/>
  <c r="BG9"/>
  <c r="BH9"/>
  <c r="BM9"/>
  <c r="BN9"/>
  <c r="BS9"/>
  <c r="BT9"/>
  <c r="BY9"/>
  <c r="BZ9"/>
  <c r="CE9"/>
  <c r="CF9"/>
  <c r="CK9"/>
  <c r="CL9"/>
  <c r="AJ11"/>
  <c r="AP11"/>
  <c r="AV11"/>
  <c r="BB11"/>
  <c r="BH11"/>
  <c r="BN11"/>
  <c r="BT11"/>
  <c r="BZ11"/>
  <c r="CF11"/>
  <c r="CL11"/>
  <c r="AJ12"/>
  <c r="AP12"/>
  <c r="AV12"/>
  <c r="BB12"/>
  <c r="BH12"/>
  <c r="BN12"/>
  <c r="BT12"/>
  <c r="BZ12"/>
  <c r="CF12"/>
  <c r="CL12"/>
  <c r="AJ13"/>
  <c r="AP13"/>
  <c r="AV13"/>
  <c r="BB13"/>
  <c r="BH13"/>
  <c r="BN13"/>
  <c r="BT13"/>
  <c r="BZ13"/>
  <c r="CF13"/>
  <c r="CL13"/>
  <c r="AJ14"/>
  <c r="AP14"/>
  <c r="AV14"/>
  <c r="BB14"/>
  <c r="BH14"/>
  <c r="BN14"/>
  <c r="BT14"/>
  <c r="BZ14"/>
  <c r="CF14"/>
  <c r="CL14"/>
  <c r="AJ15"/>
  <c r="AP15"/>
  <c r="AV15"/>
  <c r="BB15"/>
  <c r="BH15"/>
  <c r="BN15"/>
  <c r="BT15"/>
  <c r="BZ15"/>
  <c r="CF15"/>
  <c r="CL15"/>
  <c r="AJ16"/>
  <c r="AP16"/>
  <c r="AV16"/>
  <c r="BB16"/>
  <c r="BH16"/>
  <c r="BN16"/>
  <c r="BT16"/>
  <c r="BZ16"/>
  <c r="CF16"/>
  <c r="CL16"/>
  <c r="AJ20"/>
  <c r="AP20"/>
  <c r="AP22" s="1"/>
  <c r="AV20"/>
  <c r="AV22" s="1"/>
  <c r="BB20"/>
  <c r="BH20"/>
  <c r="BN20"/>
  <c r="BN22" s="1"/>
  <c r="BT20"/>
  <c r="BT22" s="1"/>
  <c r="BZ20"/>
  <c r="BZ22" s="1"/>
  <c r="CF20"/>
  <c r="CL20"/>
  <c r="CL22" s="1"/>
  <c r="AJ21"/>
  <c r="AP21"/>
  <c r="AV21"/>
  <c r="BB21"/>
  <c r="BH21"/>
  <c r="BN21"/>
  <c r="BT21"/>
  <c r="BZ21"/>
  <c r="CF21"/>
  <c r="CL21"/>
  <c r="AJ22"/>
  <c r="BB22"/>
  <c r="BH22"/>
  <c r="CF22"/>
  <c r="B24"/>
  <c r="T29" s="1"/>
  <c r="B25"/>
  <c r="Y30" s="1"/>
  <c r="B26"/>
  <c r="B27"/>
  <c r="V41" s="1"/>
  <c r="B28"/>
  <c r="K39" s="1"/>
  <c r="B29"/>
  <c r="Z29"/>
  <c r="BZ29"/>
  <c r="B30"/>
  <c r="Z30"/>
  <c r="AJ30"/>
  <c r="AP30"/>
  <c r="AV30"/>
  <c r="BB30"/>
  <c r="BH30"/>
  <c r="BN30"/>
  <c r="BT30"/>
  <c r="BZ30"/>
  <c r="CF30"/>
  <c r="CL30"/>
  <c r="B31"/>
  <c r="Z31"/>
  <c r="AJ31"/>
  <c r="AJ29" s="1"/>
  <c r="AP31"/>
  <c r="AP29" s="1"/>
  <c r="AV31"/>
  <c r="AV29" s="1"/>
  <c r="BB31"/>
  <c r="BB29" s="1"/>
  <c r="BH31"/>
  <c r="BH29" s="1"/>
  <c r="BN31"/>
  <c r="BN29" s="1"/>
  <c r="BT31"/>
  <c r="BT29" s="1"/>
  <c r="BZ31"/>
  <c r="CF31"/>
  <c r="CF29" s="1"/>
  <c r="CL31"/>
  <c r="CL29" s="1"/>
  <c r="B33"/>
  <c r="Z33"/>
  <c r="B34"/>
  <c r="AT4" s="1"/>
  <c r="Z35"/>
  <c r="AJ35"/>
  <c r="AP35"/>
  <c r="AV35"/>
  <c r="BB35"/>
  <c r="BH35"/>
  <c r="BN35"/>
  <c r="BT35"/>
  <c r="BZ35"/>
  <c r="CF35"/>
  <c r="CL35"/>
  <c r="Z36"/>
  <c r="AJ36"/>
  <c r="AP36"/>
  <c r="AV36"/>
  <c r="BB36"/>
  <c r="BH36"/>
  <c r="BN36"/>
  <c r="BT36"/>
  <c r="BZ36"/>
  <c r="CF36"/>
  <c r="CL36"/>
  <c r="U37"/>
  <c r="Z37"/>
  <c r="AJ37"/>
  <c r="AP37"/>
  <c r="AV37"/>
  <c r="BB37"/>
  <c r="BH37"/>
  <c r="BN37"/>
  <c r="BT37"/>
  <c r="BZ37"/>
  <c r="CF37"/>
  <c r="CL37"/>
  <c r="U38"/>
  <c r="Z38"/>
  <c r="AJ38"/>
  <c r="AP38"/>
  <c r="AV38"/>
  <c r="BB38"/>
  <c r="BH38"/>
  <c r="BN38"/>
  <c r="BT38"/>
  <c r="BZ38"/>
  <c r="CF38"/>
  <c r="CL38"/>
  <c r="Z39"/>
  <c r="AJ39"/>
  <c r="AP39"/>
  <c r="AV39"/>
  <c r="BB39"/>
  <c r="BH39"/>
  <c r="BN39"/>
  <c r="BT39"/>
  <c r="BZ39"/>
  <c r="CF39"/>
  <c r="CL39"/>
  <c r="Z40"/>
  <c r="AJ40"/>
  <c r="AP40"/>
  <c r="AV40"/>
  <c r="BB40"/>
  <c r="BH40"/>
  <c r="BN40"/>
  <c r="BT40"/>
  <c r="BZ40"/>
  <c r="CF40"/>
  <c r="CL40"/>
  <c r="U42"/>
  <c r="Z45"/>
  <c r="AJ45"/>
  <c r="AP45"/>
  <c r="AV45"/>
  <c r="BB45"/>
  <c r="BH45"/>
  <c r="BN45"/>
  <c r="BT45"/>
  <c r="BZ45"/>
  <c r="CF45"/>
  <c r="CL45"/>
  <c r="X48"/>
  <c r="X50"/>
  <c r="AH50"/>
  <c r="AN50"/>
  <c r="AT50"/>
  <c r="AZ50"/>
  <c r="BF50"/>
  <c r="BL50"/>
  <c r="BR50"/>
  <c r="BX50"/>
  <c r="CD50"/>
  <c r="CJ50"/>
  <c r="AJ60"/>
  <c r="AP60"/>
  <c r="AV60"/>
  <c r="BB60"/>
  <c r="BH60"/>
  <c r="BN60"/>
  <c r="BT60"/>
  <c r="BZ60"/>
  <c r="CF60"/>
  <c r="CL60"/>
  <c r="AJ61"/>
  <c r="AJ59" s="1"/>
  <c r="AP61"/>
  <c r="AP59" s="1"/>
  <c r="AV61"/>
  <c r="AV59" s="1"/>
  <c r="BB61"/>
  <c r="BB59" s="1"/>
  <c r="BH61"/>
  <c r="BH59" s="1"/>
  <c r="BN61"/>
  <c r="BN59" s="1"/>
  <c r="BT61"/>
  <c r="BT59" s="1"/>
  <c r="BZ61"/>
  <c r="BZ59" s="1"/>
  <c r="CF61"/>
  <c r="CF59" s="1"/>
  <c r="CL61"/>
  <c r="CL59" s="1"/>
  <c r="AJ65"/>
  <c r="AP65"/>
  <c r="AV65"/>
  <c r="BB65"/>
  <c r="BH65"/>
  <c r="BN65"/>
  <c r="BT65"/>
  <c r="BZ65"/>
  <c r="CF65"/>
  <c r="CL65"/>
  <c r="AJ66"/>
  <c r="AP66"/>
  <c r="AV66"/>
  <c r="BB66"/>
  <c r="BH66"/>
  <c r="BN66"/>
  <c r="BT66"/>
  <c r="BZ66"/>
  <c r="CF66"/>
  <c r="CL66"/>
  <c r="AJ67"/>
  <c r="AP67"/>
  <c r="AV67"/>
  <c r="BB67"/>
  <c r="BH67"/>
  <c r="BN67"/>
  <c r="BT67"/>
  <c r="BZ67"/>
  <c r="CF67"/>
  <c r="CL67"/>
  <c r="AJ68"/>
  <c r="AP68"/>
  <c r="AV68"/>
  <c r="BB68"/>
  <c r="BH68"/>
  <c r="BN68"/>
  <c r="BT68"/>
  <c r="BZ68"/>
  <c r="CF68"/>
  <c r="CL68"/>
  <c r="AJ69"/>
  <c r="AP69"/>
  <c r="AV69"/>
  <c r="BB69"/>
  <c r="BH69"/>
  <c r="BN69"/>
  <c r="BT69"/>
  <c r="BZ69"/>
  <c r="CF69"/>
  <c r="CL69"/>
  <c r="AJ70"/>
  <c r="AP70"/>
  <c r="AV70"/>
  <c r="BB70"/>
  <c r="BH70"/>
  <c r="BN70"/>
  <c r="BT70"/>
  <c r="BZ70"/>
  <c r="CF70"/>
  <c r="CL70"/>
  <c r="AJ72"/>
  <c r="AP72"/>
  <c r="AV72"/>
  <c r="BB72"/>
  <c r="BH72"/>
  <c r="BN72"/>
  <c r="BT72"/>
  <c r="BZ72"/>
  <c r="CF72"/>
  <c r="CL72"/>
  <c r="AH77"/>
  <c r="AN77"/>
  <c r="AT77"/>
  <c r="AZ77"/>
  <c r="BF77"/>
  <c r="BL77"/>
  <c r="BR77"/>
  <c r="BX77"/>
  <c r="CD77"/>
  <c r="CJ77"/>
  <c r="AJ87"/>
  <c r="AP87"/>
  <c r="AV87"/>
  <c r="BB87"/>
  <c r="BH87"/>
  <c r="BN87"/>
  <c r="BT87"/>
  <c r="BZ87"/>
  <c r="CF87"/>
  <c r="CL87"/>
  <c r="AJ88"/>
  <c r="AJ86" s="1"/>
  <c r="AP88"/>
  <c r="AP86" s="1"/>
  <c r="AV88"/>
  <c r="AV86" s="1"/>
  <c r="BB88"/>
  <c r="BB86" s="1"/>
  <c r="BH88"/>
  <c r="BH86" s="1"/>
  <c r="BN88"/>
  <c r="BN86" s="1"/>
  <c r="BT88"/>
  <c r="BT86" s="1"/>
  <c r="BZ88"/>
  <c r="BZ86" s="1"/>
  <c r="CF88"/>
  <c r="CF86" s="1"/>
  <c r="CL88"/>
  <c r="CL86" s="1"/>
  <c r="AJ92"/>
  <c r="AP92"/>
  <c r="AV92"/>
  <c r="BB92"/>
  <c r="BH92"/>
  <c r="BN92"/>
  <c r="BT92"/>
  <c r="BZ92"/>
  <c r="CF92"/>
  <c r="CL92"/>
  <c r="AJ93"/>
  <c r="AP93"/>
  <c r="AV93"/>
  <c r="BB93"/>
  <c r="BH93"/>
  <c r="BN93"/>
  <c r="BT93"/>
  <c r="BZ93"/>
  <c r="CF93"/>
  <c r="CL93"/>
  <c r="AJ94"/>
  <c r="AP94"/>
  <c r="AV94"/>
  <c r="BB94"/>
  <c r="BH94"/>
  <c r="BN94"/>
  <c r="BT94"/>
  <c r="BZ94"/>
  <c r="CF94"/>
  <c r="CL94"/>
  <c r="AJ95"/>
  <c r="AP95"/>
  <c r="AV95"/>
  <c r="BB95"/>
  <c r="BH95"/>
  <c r="BN95"/>
  <c r="BT95"/>
  <c r="BZ95"/>
  <c r="CF95"/>
  <c r="CL95"/>
  <c r="AJ96"/>
  <c r="AP96"/>
  <c r="AV96"/>
  <c r="BB96"/>
  <c r="BH96"/>
  <c r="BN96"/>
  <c r="BT96"/>
  <c r="BZ96"/>
  <c r="CF96"/>
  <c r="CL96"/>
  <c r="AJ97"/>
  <c r="AP97"/>
  <c r="AV97"/>
  <c r="BB97"/>
  <c r="BH97"/>
  <c r="BN97"/>
  <c r="BT97"/>
  <c r="BZ97"/>
  <c r="CF97"/>
  <c r="CL97"/>
  <c r="AJ99"/>
  <c r="AP99"/>
  <c r="AV99"/>
  <c r="BB99"/>
  <c r="BH99"/>
  <c r="BN99"/>
  <c r="BT99"/>
  <c r="BZ99"/>
  <c r="CF99"/>
  <c r="CL99"/>
  <c r="AH104"/>
  <c r="AN104"/>
  <c r="AT104"/>
  <c r="AZ104"/>
  <c r="BF104"/>
  <c r="BL104"/>
  <c r="BR104"/>
  <c r="BX104"/>
  <c r="CD104"/>
  <c r="CJ104"/>
  <c r="C4" i="19"/>
  <c r="H4" s="1"/>
  <c r="AB4" s="1"/>
  <c r="J4"/>
  <c r="K4"/>
  <c r="AH4" s="1"/>
  <c r="L4"/>
  <c r="AJ4" s="1"/>
  <c r="AF4"/>
  <c r="C5"/>
  <c r="I5" s="1"/>
  <c r="AD5" s="1"/>
  <c r="J5"/>
  <c r="AF5" s="1"/>
  <c r="K5"/>
  <c r="AH5" s="1"/>
  <c r="C6"/>
  <c r="H6" s="1"/>
  <c r="AB6" s="1"/>
  <c r="I6"/>
  <c r="AD6" s="1"/>
  <c r="J6"/>
  <c r="AF6" s="1"/>
  <c r="K6"/>
  <c r="O6"/>
  <c r="AH6"/>
  <c r="C7"/>
  <c r="E7" s="1"/>
  <c r="V7" s="1"/>
  <c r="F7"/>
  <c r="H7"/>
  <c r="AB7" s="1"/>
  <c r="J7"/>
  <c r="AF7" s="1"/>
  <c r="K7"/>
  <c r="AH7" s="1"/>
  <c r="L7"/>
  <c r="O7"/>
  <c r="AJ7"/>
  <c r="C8"/>
  <c r="H8" s="1"/>
  <c r="AB8" s="1"/>
  <c r="J8"/>
  <c r="K8"/>
  <c r="AH8" s="1"/>
  <c r="L8"/>
  <c r="AF8"/>
  <c r="AJ8"/>
  <c r="C9"/>
  <c r="H9" s="1"/>
  <c r="AB9" s="1"/>
  <c r="I9"/>
  <c r="AD9" s="1"/>
  <c r="J9"/>
  <c r="AF9" s="1"/>
  <c r="K9"/>
  <c r="AH9" s="1"/>
  <c r="C10"/>
  <c r="F10" s="1"/>
  <c r="G10"/>
  <c r="Z10" s="1"/>
  <c r="H10"/>
  <c r="J10"/>
  <c r="K10"/>
  <c r="AH10" s="1"/>
  <c r="L10"/>
  <c r="O10"/>
  <c r="P10"/>
  <c r="BS45" i="4" s="1"/>
  <c r="AB10" i="19"/>
  <c r="AF10"/>
  <c r="AJ10"/>
  <c r="C11"/>
  <c r="E11" s="1"/>
  <c r="V11" s="1"/>
  <c r="G11"/>
  <c r="H11"/>
  <c r="J11"/>
  <c r="K11"/>
  <c r="L11"/>
  <c r="N11"/>
  <c r="O11"/>
  <c r="Z11"/>
  <c r="AB11"/>
  <c r="AF11"/>
  <c r="AH11"/>
  <c r="AJ11"/>
  <c r="C12"/>
  <c r="H12" s="1"/>
  <c r="J12"/>
  <c r="K12"/>
  <c r="L12"/>
  <c r="AJ12" s="1"/>
  <c r="AB12"/>
  <c r="AF12"/>
  <c r="AH12"/>
  <c r="C13"/>
  <c r="G13" s="1"/>
  <c r="Z13" s="1"/>
  <c r="J13"/>
  <c r="K13"/>
  <c r="P13"/>
  <c r="CK45" i="4" s="1"/>
  <c r="AF13" i="19"/>
  <c r="AH13"/>
  <c r="C14"/>
  <c r="G14" s="1"/>
  <c r="Z14" s="1"/>
  <c r="H14"/>
  <c r="AB14" s="1"/>
  <c r="J14"/>
  <c r="K14"/>
  <c r="L14"/>
  <c r="AJ14" s="1"/>
  <c r="P14"/>
  <c r="AI72" i="4" s="1"/>
  <c r="AF14" i="19"/>
  <c r="AH14"/>
  <c r="C15"/>
  <c r="E15" s="1"/>
  <c r="V15" s="1"/>
  <c r="H15"/>
  <c r="J15"/>
  <c r="K15"/>
  <c r="N15"/>
  <c r="O15"/>
  <c r="AB15"/>
  <c r="AF15"/>
  <c r="AH15"/>
  <c r="C16"/>
  <c r="H16" s="1"/>
  <c r="AB16" s="1"/>
  <c r="J16"/>
  <c r="AF16" s="1"/>
  <c r="K16"/>
  <c r="L16"/>
  <c r="AJ16" s="1"/>
  <c r="AH16"/>
  <c r="C17"/>
  <c r="G17" s="1"/>
  <c r="Z17" s="1"/>
  <c r="H17"/>
  <c r="I17"/>
  <c r="J17"/>
  <c r="K17"/>
  <c r="L17"/>
  <c r="M17"/>
  <c r="P17"/>
  <c r="BA72" i="4" s="1"/>
  <c r="AB17" i="19"/>
  <c r="AD17"/>
  <c r="AF17"/>
  <c r="AH17"/>
  <c r="AJ17"/>
  <c r="AL17"/>
  <c r="C18"/>
  <c r="E18" s="1"/>
  <c r="V18" s="1"/>
  <c r="F18"/>
  <c r="G18"/>
  <c r="H18"/>
  <c r="J18"/>
  <c r="AF18" s="1"/>
  <c r="K18"/>
  <c r="L18"/>
  <c r="N18"/>
  <c r="O18"/>
  <c r="P18"/>
  <c r="BG72" i="4" s="1"/>
  <c r="Z18" i="19"/>
  <c r="AB18"/>
  <c r="AH18"/>
  <c r="AJ18"/>
  <c r="C19"/>
  <c r="E19" s="1"/>
  <c r="V19" s="1"/>
  <c r="F19"/>
  <c r="G19"/>
  <c r="H19"/>
  <c r="J19"/>
  <c r="K19"/>
  <c r="L19"/>
  <c r="N19"/>
  <c r="O19"/>
  <c r="P19"/>
  <c r="BM72" i="4" s="1"/>
  <c r="Z19" i="19"/>
  <c r="AB19"/>
  <c r="AF19"/>
  <c r="AH19"/>
  <c r="AJ19"/>
  <c r="C20"/>
  <c r="H20"/>
  <c r="J20"/>
  <c r="AF20" s="1"/>
  <c r="K20"/>
  <c r="AH20" s="1"/>
  <c r="L20"/>
  <c r="P20"/>
  <c r="BS72" i="4" s="1"/>
  <c r="AB20" i="19"/>
  <c r="AJ20"/>
  <c r="C21"/>
  <c r="G21" s="1"/>
  <c r="Z21" s="1"/>
  <c r="J21"/>
  <c r="K21"/>
  <c r="P21"/>
  <c r="BY72" i="4" s="1"/>
  <c r="AF21" i="19"/>
  <c r="AH21"/>
  <c r="C22"/>
  <c r="G22" s="1"/>
  <c r="Z22" s="1"/>
  <c r="H22"/>
  <c r="AB22" s="1"/>
  <c r="J22"/>
  <c r="K22"/>
  <c r="AH22" s="1"/>
  <c r="L22"/>
  <c r="AJ22" s="1"/>
  <c r="P22"/>
  <c r="CE72" i="4" s="1"/>
  <c r="AF22" i="19"/>
  <c r="C23"/>
  <c r="E23" s="1"/>
  <c r="V23" s="1"/>
  <c r="H23"/>
  <c r="J23"/>
  <c r="K23"/>
  <c r="N23"/>
  <c r="O23"/>
  <c r="AB23"/>
  <c r="AF23"/>
  <c r="AH23"/>
  <c r="C24"/>
  <c r="H24" s="1"/>
  <c r="AB24" s="1"/>
  <c r="J24"/>
  <c r="K24"/>
  <c r="L24"/>
  <c r="AJ24" s="1"/>
  <c r="AF24"/>
  <c r="AH24"/>
  <c r="C25"/>
  <c r="G25" s="1"/>
  <c r="Z25" s="1"/>
  <c r="E25"/>
  <c r="H25"/>
  <c r="I25"/>
  <c r="J25"/>
  <c r="K25"/>
  <c r="L25"/>
  <c r="M25"/>
  <c r="P25"/>
  <c r="AO99" i="4" s="1"/>
  <c r="V25" i="19"/>
  <c r="AB25"/>
  <c r="AD25"/>
  <c r="AF25"/>
  <c r="AH25"/>
  <c r="AJ25"/>
  <c r="AL25"/>
  <c r="C26"/>
  <c r="E26"/>
  <c r="F26"/>
  <c r="G26"/>
  <c r="H26"/>
  <c r="I26"/>
  <c r="AD26" s="1"/>
  <c r="J26"/>
  <c r="AF26" s="1"/>
  <c r="K26"/>
  <c r="L26"/>
  <c r="M26"/>
  <c r="AL26" s="1"/>
  <c r="N26"/>
  <c r="O26"/>
  <c r="P26"/>
  <c r="AU99" i="4" s="1"/>
  <c r="V26" i="19"/>
  <c r="Z26"/>
  <c r="AB26"/>
  <c r="AH26"/>
  <c r="AJ26"/>
  <c r="C27"/>
  <c r="E27" s="1"/>
  <c r="V27" s="1"/>
  <c r="F27"/>
  <c r="G27"/>
  <c r="Z27" s="1"/>
  <c r="J27"/>
  <c r="AF27" s="1"/>
  <c r="K27"/>
  <c r="AH27" s="1"/>
  <c r="L27"/>
  <c r="AJ27" s="1"/>
  <c r="O27"/>
  <c r="P27"/>
  <c r="BA99" i="4" s="1"/>
  <c r="C28" i="19"/>
  <c r="J28"/>
  <c r="AF28" s="1"/>
  <c r="K28"/>
  <c r="AH28" s="1"/>
  <c r="C29"/>
  <c r="P29" s="1"/>
  <c r="BM99" i="4" s="1"/>
  <c r="J29" i="19"/>
  <c r="K29"/>
  <c r="AH29" s="1"/>
  <c r="AF29"/>
  <c r="C30"/>
  <c r="G30" s="1"/>
  <c r="Z30" s="1"/>
  <c r="H30"/>
  <c r="AB30" s="1"/>
  <c r="J30"/>
  <c r="K30"/>
  <c r="AH30" s="1"/>
  <c r="L30"/>
  <c r="AJ30" s="1"/>
  <c r="P30"/>
  <c r="BS99" i="4" s="1"/>
  <c r="AF30" i="19"/>
  <c r="C31"/>
  <c r="E31" s="1"/>
  <c r="V31" s="1"/>
  <c r="H31"/>
  <c r="AB31" s="1"/>
  <c r="J31"/>
  <c r="AF31" s="1"/>
  <c r="K31"/>
  <c r="AH31" s="1"/>
  <c r="N31"/>
  <c r="O31"/>
  <c r="C32"/>
  <c r="H32"/>
  <c r="AB32" s="1"/>
  <c r="J32"/>
  <c r="AF32" s="1"/>
  <c r="K32"/>
  <c r="O32"/>
  <c r="P32"/>
  <c r="CE99" i="4" s="1"/>
  <c r="AH32" i="19"/>
  <c r="C33"/>
  <c r="E33"/>
  <c r="H33"/>
  <c r="AB33" s="1"/>
  <c r="I33"/>
  <c r="J33"/>
  <c r="K33"/>
  <c r="L33"/>
  <c r="AJ33" s="1"/>
  <c r="M33"/>
  <c r="P33"/>
  <c r="CK99" i="4" s="1"/>
  <c r="V33" i="19"/>
  <c r="AD33"/>
  <c r="AF33"/>
  <c r="AH33"/>
  <c r="AL33"/>
  <c r="L34"/>
  <c r="M34"/>
  <c r="O34"/>
  <c r="V34"/>
  <c r="Z34"/>
  <c r="AB34"/>
  <c r="AD34"/>
  <c r="AF34"/>
  <c r="AH34"/>
  <c r="AJ34"/>
  <c r="L35"/>
  <c r="AJ35" s="1"/>
  <c r="M35"/>
  <c r="N35"/>
  <c r="O35"/>
  <c r="P35"/>
  <c r="V35"/>
  <c r="Z35"/>
  <c r="AB35"/>
  <c r="AD35"/>
  <c r="AF35"/>
  <c r="AH35"/>
  <c r="AL35"/>
  <c r="AO35"/>
  <c r="C36"/>
  <c r="O36"/>
  <c r="Q1" i="20"/>
  <c r="H2"/>
  <c r="Q2"/>
  <c r="B5"/>
  <c r="R5"/>
  <c r="T5" s="1"/>
  <c r="B6"/>
  <c r="Y6"/>
  <c r="B7"/>
  <c r="E7"/>
  <c r="Y7"/>
  <c r="Q8"/>
  <c r="V8"/>
  <c r="Y8" s="1"/>
  <c r="Q9"/>
  <c r="V9"/>
  <c r="Y9"/>
  <c r="Q10"/>
  <c r="V10"/>
  <c r="Y10" s="1"/>
  <c r="B10" s="1"/>
  <c r="Q11"/>
  <c r="B11" s="1"/>
  <c r="V11"/>
  <c r="Y11" s="1"/>
  <c r="Q12"/>
  <c r="V12"/>
  <c r="Y12" s="1"/>
  <c r="Q13"/>
  <c r="V13"/>
  <c r="Y13"/>
  <c r="B14"/>
  <c r="E14"/>
  <c r="Q14"/>
  <c r="V14"/>
  <c r="Y14"/>
  <c r="B15"/>
  <c r="Q15"/>
  <c r="E15" s="1"/>
  <c r="V15"/>
  <c r="Y15"/>
  <c r="E16"/>
  <c r="Q16"/>
  <c r="B16" s="1"/>
  <c r="V16"/>
  <c r="Y16" s="1"/>
  <c r="B17"/>
  <c r="E17"/>
  <c r="Q17"/>
  <c r="V17"/>
  <c r="Y17"/>
  <c r="B18"/>
  <c r="Q18"/>
  <c r="E18" s="1"/>
  <c r="V18"/>
  <c r="Y18" s="1"/>
  <c r="Q19"/>
  <c r="E19" s="1"/>
  <c r="V19"/>
  <c r="Y19" s="1"/>
  <c r="Q20"/>
  <c r="B20" s="1"/>
  <c r="V20"/>
  <c r="Y20" s="1"/>
  <c r="Q21"/>
  <c r="E21" s="1"/>
  <c r="V21"/>
  <c r="Y21"/>
  <c r="B22"/>
  <c r="E22"/>
  <c r="Q22"/>
  <c r="V22"/>
  <c r="Y22" s="1"/>
  <c r="Q23"/>
  <c r="V23"/>
  <c r="Y23" s="1"/>
  <c r="Q24"/>
  <c r="V24"/>
  <c r="Y24" s="1"/>
  <c r="Q25"/>
  <c r="V25"/>
  <c r="Y25" s="1"/>
  <c r="E26"/>
  <c r="Q26"/>
  <c r="B26" s="1"/>
  <c r="V26"/>
  <c r="Y26"/>
  <c r="B27"/>
  <c r="Q27"/>
  <c r="E27" s="1"/>
  <c r="V27"/>
  <c r="Y27"/>
  <c r="E28"/>
  <c r="Q28"/>
  <c r="B28" s="1"/>
  <c r="V28"/>
  <c r="Y28" s="1"/>
  <c r="E29"/>
  <c r="Q29"/>
  <c r="B29" s="1"/>
  <c r="V29"/>
  <c r="Y29"/>
  <c r="B30"/>
  <c r="E30"/>
  <c r="Q30"/>
  <c r="V30"/>
  <c r="Y30"/>
  <c r="B31"/>
  <c r="Q31"/>
  <c r="E31" s="1"/>
  <c r="V31"/>
  <c r="Y31"/>
  <c r="E32"/>
  <c r="Q32"/>
  <c r="B32" s="1"/>
  <c r="V32"/>
  <c r="Y32" s="1"/>
  <c r="B33"/>
  <c r="E33"/>
  <c r="Q33"/>
  <c r="V33"/>
  <c r="Y33"/>
  <c r="B34"/>
  <c r="Q34"/>
  <c r="E34" s="1"/>
  <c r="V34"/>
  <c r="Y34" s="1"/>
  <c r="Q35"/>
  <c r="E35" s="1"/>
  <c r="V35"/>
  <c r="Y35" s="1"/>
  <c r="Q36"/>
  <c r="B36" s="1"/>
  <c r="V36"/>
  <c r="Y36" s="1"/>
  <c r="Q37"/>
  <c r="E37" s="1"/>
  <c r="V37"/>
  <c r="Y37"/>
  <c r="S1" i="6"/>
  <c r="B5" s="1"/>
  <c r="H2"/>
  <c r="G5"/>
  <c r="H30" i="27" s="1"/>
  <c r="U43" s="1"/>
  <c r="B6" i="6"/>
  <c r="G6" s="1"/>
  <c r="E6"/>
  <c r="B7"/>
  <c r="E7"/>
  <c r="J7" s="1"/>
  <c r="N32" i="27" s="1"/>
  <c r="G7" i="6"/>
  <c r="B8"/>
  <c r="E8"/>
  <c r="J8" s="1"/>
  <c r="N33" i="27" s="1"/>
  <c r="G8" i="6"/>
  <c r="H33" i="27" s="1"/>
  <c r="AE10" i="6"/>
  <c r="AF10" s="1"/>
  <c r="E11"/>
  <c r="E38" i="27" s="1"/>
  <c r="AE11" i="6"/>
  <c r="AE12" s="1"/>
  <c r="Y13"/>
  <c r="Z15"/>
  <c r="Z16" s="1"/>
  <c r="E16"/>
  <c r="Z17"/>
  <c r="Z18" s="1"/>
  <c r="Z19" s="1"/>
  <c r="Z20" s="1"/>
  <c r="Z21" s="1"/>
  <c r="Z22" s="1"/>
  <c r="Z23" s="1"/>
  <c r="Z24" s="1"/>
  <c r="Z25" s="1"/>
  <c r="Z26" s="1"/>
  <c r="Z27" s="1"/>
  <c r="Z28" s="1"/>
  <c r="Z29" s="1"/>
  <c r="Z30" s="1"/>
  <c r="Z31" s="1"/>
  <c r="Z32" s="1"/>
  <c r="Z33" s="1"/>
  <c r="Z34" s="1"/>
  <c r="Z35" s="1"/>
  <c r="Z36" s="1"/>
  <c r="Z37" s="1"/>
  <c r="Z38" s="1"/>
  <c r="Z39" s="1"/>
  <c r="Z40" s="1"/>
  <c r="Z41" s="1"/>
  <c r="Z42" s="1"/>
  <c r="AM17"/>
  <c r="AD19"/>
  <c r="AG19"/>
  <c r="E20"/>
  <c r="E47" i="27" s="1"/>
  <c r="E21" i="6"/>
  <c r="BR21"/>
  <c r="B22"/>
  <c r="B49" i="27" s="1"/>
  <c r="E22" i="6"/>
  <c r="E49" i="27" s="1"/>
  <c r="BP22" i="6"/>
  <c r="BR22"/>
  <c r="BR23"/>
  <c r="J24"/>
  <c r="BR24"/>
  <c r="BR25"/>
  <c r="O26"/>
  <c r="BR26"/>
  <c r="BR27"/>
  <c r="O28"/>
  <c r="AW28"/>
  <c r="BC28"/>
  <c r="BR28"/>
  <c r="BR29"/>
  <c r="G30"/>
  <c r="H57" i="27" s="1"/>
  <c r="O30" i="6"/>
  <c r="AU30"/>
  <c r="AX30"/>
  <c r="BA30" s="1"/>
  <c r="BC30"/>
  <c r="BR30"/>
  <c r="AE31"/>
  <c r="AF31"/>
  <c r="AG31" s="1"/>
  <c r="AI31" s="1"/>
  <c r="AN31" s="1"/>
  <c r="B16" s="1"/>
  <c r="B43" i="27" s="1"/>
  <c r="AJ31" i="6"/>
  <c r="AL31"/>
  <c r="AM31"/>
  <c r="BR31"/>
  <c r="AF32"/>
  <c r="BC32"/>
  <c r="BD32"/>
  <c r="BR32"/>
  <c r="AD33"/>
  <c r="AG33"/>
  <c r="BR33"/>
  <c r="BR34"/>
  <c r="BR35"/>
  <c r="BR36"/>
  <c r="M37"/>
  <c r="BR37"/>
  <c r="BR38"/>
  <c r="BR40"/>
  <c r="BR41" s="1"/>
  <c r="Y41"/>
  <c r="BQ41"/>
  <c r="Y44"/>
  <c r="BQ47"/>
  <c r="BS47"/>
  <c r="BU47"/>
  <c r="BW47"/>
  <c r="O50"/>
  <c r="N51"/>
  <c r="O49" s="1"/>
  <c r="N52"/>
  <c r="N53"/>
  <c r="AF66"/>
  <c r="AF67" s="1"/>
  <c r="AB67"/>
  <c r="AE67"/>
  <c r="AG67"/>
  <c r="AH70"/>
  <c r="H2" i="15"/>
  <c r="AK3"/>
  <c r="AK4"/>
  <c r="AK5"/>
  <c r="G6"/>
  <c r="O17" s="1"/>
  <c r="AB6"/>
  <c r="AK6"/>
  <c r="G7"/>
  <c r="J24" s="1"/>
  <c r="K7"/>
  <c r="AK7"/>
  <c r="AK8"/>
  <c r="C9"/>
  <c r="AK9"/>
  <c r="D10"/>
  <c r="H10"/>
  <c r="AK10"/>
  <c r="AK11"/>
  <c r="C13"/>
  <c r="Z14"/>
  <c r="Z15"/>
  <c r="Z16"/>
  <c r="P17"/>
  <c r="Z17"/>
  <c r="P18"/>
  <c r="Z18"/>
  <c r="P19"/>
  <c r="Z19"/>
  <c r="L20"/>
  <c r="M20"/>
  <c r="P20"/>
  <c r="Z20"/>
  <c r="P21"/>
  <c r="Z21"/>
  <c r="O22"/>
  <c r="P22"/>
  <c r="Z22"/>
  <c r="O23"/>
  <c r="J23" s="1"/>
  <c r="P23"/>
  <c r="Z23"/>
  <c r="N24"/>
  <c r="O24"/>
  <c r="Z24"/>
  <c r="N25"/>
  <c r="Z25"/>
  <c r="P26"/>
  <c r="Z26"/>
  <c r="O27"/>
  <c r="P27"/>
  <c r="Z27"/>
  <c r="O28"/>
  <c r="J28" s="1"/>
  <c r="P28"/>
  <c r="Z28"/>
  <c r="O29"/>
  <c r="J29" s="1"/>
  <c r="P29"/>
  <c r="Z29"/>
  <c r="O30"/>
  <c r="J30" s="1"/>
  <c r="J40" s="1"/>
  <c r="P30"/>
  <c r="Z30"/>
  <c r="O31"/>
  <c r="P31"/>
  <c r="Z31"/>
  <c r="Z32"/>
  <c r="Z33"/>
  <c r="Z34"/>
  <c r="AB37"/>
  <c r="AB38"/>
  <c r="AE39"/>
  <c r="AA46"/>
  <c r="AB54" s="1"/>
  <c r="AA47"/>
  <c r="AA50"/>
  <c r="AB50" s="1"/>
  <c r="AB51" s="1"/>
  <c r="AO55"/>
  <c r="AP62" s="1"/>
  <c r="AO56"/>
  <c r="AO58"/>
  <c r="AY92" s="1"/>
  <c r="AB59"/>
  <c r="AB62"/>
  <c r="AP64"/>
  <c r="AN66"/>
  <c r="AO66"/>
  <c r="F68"/>
  <c r="F69"/>
  <c r="F70"/>
  <c r="AP70"/>
  <c r="F71"/>
  <c r="F72"/>
  <c r="F73"/>
  <c r="AP73"/>
  <c r="F74"/>
  <c r="F75"/>
  <c r="F76"/>
  <c r="AC76"/>
  <c r="AF76" s="1"/>
  <c r="AD78"/>
  <c r="AF80"/>
  <c r="AQ80"/>
  <c r="AR80"/>
  <c r="AF82"/>
  <c r="AB90" s="1"/>
  <c r="AG95" s="1"/>
  <c r="AK84"/>
  <c r="AF86"/>
  <c r="AF87"/>
  <c r="AB88"/>
  <c r="AG88" s="1"/>
  <c r="AD88"/>
  <c r="AF88"/>
  <c r="AB89"/>
  <c r="AF89"/>
  <c r="AO90"/>
  <c r="AP90"/>
  <c r="AU92" s="1"/>
  <c r="AQ90"/>
  <c r="AV92" s="1"/>
  <c r="AR90"/>
  <c r="AQ92"/>
  <c r="AR92"/>
  <c r="AT92"/>
  <c r="AZ92"/>
  <c r="BA92"/>
  <c r="AY95"/>
  <c r="AZ95" s="1"/>
  <c r="BA95" s="1"/>
  <c r="BB95" s="1"/>
  <c r="AV96"/>
  <c r="AW96"/>
  <c r="AS98"/>
  <c r="AT98"/>
  <c r="AU98"/>
  <c r="AV98"/>
  <c r="AW98"/>
  <c r="AX98"/>
  <c r="D99"/>
  <c r="AS99"/>
  <c r="D100"/>
  <c r="AF100"/>
  <c r="AZ101"/>
  <c r="D102"/>
  <c r="C103"/>
  <c r="D103"/>
  <c r="C104"/>
  <c r="T1" i="1"/>
  <c r="T2"/>
  <c r="T4" s="1"/>
  <c r="R18" s="1"/>
  <c r="T3"/>
  <c r="W3"/>
  <c r="Y3"/>
  <c r="N4"/>
  <c r="W4"/>
  <c r="Y4"/>
  <c r="W5"/>
  <c r="Y5" s="1"/>
  <c r="AQ5"/>
  <c r="W7"/>
  <c r="Y7"/>
  <c r="Y8"/>
  <c r="AG9"/>
  <c r="AH9"/>
  <c r="AI9"/>
  <c r="AJ9"/>
  <c r="K9" s="1"/>
  <c r="F10"/>
  <c r="AG10"/>
  <c r="AH10"/>
  <c r="AI10"/>
  <c r="AJ10"/>
  <c r="K10" s="1"/>
  <c r="AN10"/>
  <c r="AQ10"/>
  <c r="R11"/>
  <c r="Y11"/>
  <c r="AG11"/>
  <c r="AH11"/>
  <c r="AI11"/>
  <c r="AJ11"/>
  <c r="K11" s="1"/>
  <c r="AN11"/>
  <c r="AN12" s="1"/>
  <c r="AN13" s="1"/>
  <c r="AN14" s="1"/>
  <c r="AN15" s="1"/>
  <c r="AQ11"/>
  <c r="R12"/>
  <c r="S12"/>
  <c r="AG12"/>
  <c r="AH12"/>
  <c r="AI12"/>
  <c r="AJ12"/>
  <c r="K12" s="1"/>
  <c r="AQ12"/>
  <c r="F13"/>
  <c r="R13"/>
  <c r="AG13"/>
  <c r="AH13"/>
  <c r="AI13"/>
  <c r="AJ13"/>
  <c r="K13" s="1"/>
  <c r="AQ13"/>
  <c r="K14"/>
  <c r="R14"/>
  <c r="AG14"/>
  <c r="AH14"/>
  <c r="AI14"/>
  <c r="N14" s="1"/>
  <c r="AJ14"/>
  <c r="AQ14"/>
  <c r="R15"/>
  <c r="AG15"/>
  <c r="AH15"/>
  <c r="AI15"/>
  <c r="AJ15"/>
  <c r="K15" s="1"/>
  <c r="AQ15"/>
  <c r="AG16"/>
  <c r="AH16"/>
  <c r="AI16"/>
  <c r="AJ16"/>
  <c r="K16" s="1"/>
  <c r="AN16"/>
  <c r="AN17" s="1"/>
  <c r="AN18" s="1"/>
  <c r="AN19" s="1"/>
  <c r="AN20" s="1"/>
  <c r="AN21" s="1"/>
  <c r="AN22" s="1"/>
  <c r="AN23" s="1"/>
  <c r="AN24" s="1"/>
  <c r="AN25" s="1"/>
  <c r="AN26" s="1"/>
  <c r="AN27" s="1"/>
  <c r="AQ16"/>
  <c r="N17"/>
  <c r="AG17"/>
  <c r="AH17"/>
  <c r="AI17"/>
  <c r="AJ17"/>
  <c r="K17" s="1"/>
  <c r="AQ17"/>
  <c r="AG18"/>
  <c r="AH18"/>
  <c r="AI18"/>
  <c r="AJ18"/>
  <c r="K18" s="1"/>
  <c r="AQ18"/>
  <c r="R19"/>
  <c r="F19" s="1"/>
  <c r="S19"/>
  <c r="AG19"/>
  <c r="AH19"/>
  <c r="AI19"/>
  <c r="AJ19"/>
  <c r="K19" s="1"/>
  <c r="AQ19"/>
  <c r="F20"/>
  <c r="R20"/>
  <c r="AG20"/>
  <c r="AH20"/>
  <c r="AI20"/>
  <c r="AJ20"/>
  <c r="K20" s="1"/>
  <c r="AQ20"/>
  <c r="AG21"/>
  <c r="AH21"/>
  <c r="AI21"/>
  <c r="N21" s="1"/>
  <c r="AJ21"/>
  <c r="K21" s="1"/>
  <c r="AQ21"/>
  <c r="N22"/>
  <c r="AG22"/>
  <c r="AH22"/>
  <c r="AI22"/>
  <c r="AJ22"/>
  <c r="K22" s="1"/>
  <c r="AQ22"/>
  <c r="AG23"/>
  <c r="AH23"/>
  <c r="AI23"/>
  <c r="N23" s="1"/>
  <c r="AJ23"/>
  <c r="K23" s="1"/>
  <c r="AQ23"/>
  <c r="N24"/>
  <c r="AG24"/>
  <c r="AH24"/>
  <c r="AI24"/>
  <c r="AJ24"/>
  <c r="K24" s="1"/>
  <c r="AQ24"/>
  <c r="F25"/>
  <c r="R25"/>
  <c r="AG25"/>
  <c r="AH25"/>
  <c r="AI25"/>
  <c r="AJ25"/>
  <c r="K25" s="1"/>
  <c r="AQ25"/>
  <c r="R26"/>
  <c r="F26" s="1"/>
  <c r="AG26"/>
  <c r="AH26"/>
  <c r="AI26"/>
  <c r="AJ26"/>
  <c r="K26" s="1"/>
  <c r="AQ26"/>
  <c r="K27"/>
  <c r="T27"/>
  <c r="V27" s="1"/>
  <c r="AG27"/>
  <c r="AH27"/>
  <c r="AI27"/>
  <c r="N27" s="1"/>
  <c r="AJ27"/>
  <c r="AQ27"/>
  <c r="R28"/>
  <c r="F28" s="1"/>
  <c r="T28"/>
  <c r="V28" s="1"/>
  <c r="M26" i="4" s="1"/>
  <c r="AG28" i="1"/>
  <c r="AH28"/>
  <c r="AI28"/>
  <c r="AJ28"/>
  <c r="K28" s="1"/>
  <c r="AG29"/>
  <c r="AH29"/>
  <c r="AI29"/>
  <c r="N29" s="1"/>
  <c r="AJ29"/>
  <c r="K29" s="1"/>
  <c r="AG30"/>
  <c r="AH30"/>
  <c r="AI30"/>
  <c r="AJ30"/>
  <c r="K30" s="1"/>
  <c r="AG31"/>
  <c r="AH31"/>
  <c r="AI31"/>
  <c r="AJ31"/>
  <c r="K31" s="1"/>
  <c r="AG32"/>
  <c r="AH32"/>
  <c r="AI32"/>
  <c r="N32" s="1"/>
  <c r="AJ32"/>
  <c r="K32" s="1"/>
  <c r="R33"/>
  <c r="AG33"/>
  <c r="AH33"/>
  <c r="AI33"/>
  <c r="AJ33"/>
  <c r="K33" s="1"/>
  <c r="C34"/>
  <c r="K34"/>
  <c r="N34"/>
  <c r="R34"/>
  <c r="S34"/>
  <c r="AG34"/>
  <c r="AH34"/>
  <c r="AI34"/>
  <c r="AJ34"/>
  <c r="C35"/>
  <c r="F35"/>
  <c r="R35"/>
  <c r="AG35"/>
  <c r="AH35"/>
  <c r="AI35"/>
  <c r="AJ35"/>
  <c r="K35" s="1"/>
  <c r="C36"/>
  <c r="R36"/>
  <c r="AG36"/>
  <c r="AH36"/>
  <c r="AI36"/>
  <c r="AJ36"/>
  <c r="K36" s="1"/>
  <c r="C37"/>
  <c r="R37"/>
  <c r="AG37"/>
  <c r="AH37"/>
  <c r="AI37"/>
  <c r="N37" s="1"/>
  <c r="AJ37"/>
  <c r="K37" s="1"/>
  <c r="C38"/>
  <c r="K38"/>
  <c r="R38"/>
  <c r="F38" s="1"/>
  <c r="AG38"/>
  <c r="AH38"/>
  <c r="AI38"/>
  <c r="N38" s="1"/>
  <c r="AJ38"/>
  <c r="C39"/>
  <c r="F39"/>
  <c r="R39"/>
  <c r="C40"/>
  <c r="R40"/>
  <c r="F40" s="1"/>
  <c r="C41"/>
  <c r="R41"/>
  <c r="F41" s="1"/>
  <c r="C42"/>
  <c r="F42"/>
  <c r="R42"/>
  <c r="F43"/>
  <c r="N43"/>
  <c r="R43"/>
  <c r="R44"/>
  <c r="C46"/>
  <c r="Z46"/>
  <c r="AB46" s="1"/>
  <c r="AE46"/>
  <c r="Z47"/>
  <c r="AB47"/>
  <c r="C48"/>
  <c r="Z48"/>
  <c r="AB48" s="1"/>
  <c r="AG48"/>
  <c r="AH48"/>
  <c r="AI48"/>
  <c r="N48" s="1"/>
  <c r="C49"/>
  <c r="K49"/>
  <c r="Z49"/>
  <c r="AB49"/>
  <c r="AD49"/>
  <c r="AD50" s="1"/>
  <c r="AD51" s="1"/>
  <c r="AD52" s="1"/>
  <c r="AG49"/>
  <c r="AH49"/>
  <c r="AI49"/>
  <c r="N49" s="1"/>
  <c r="AJ49"/>
  <c r="C50"/>
  <c r="Z50"/>
  <c r="AB50"/>
  <c r="AG50"/>
  <c r="AH50"/>
  <c r="AI50"/>
  <c r="N50" s="1"/>
  <c r="C51"/>
  <c r="AG51"/>
  <c r="AH51"/>
  <c r="AI51"/>
  <c r="N51" s="1"/>
  <c r="C52"/>
  <c r="Z52"/>
  <c r="AB52"/>
  <c r="AG52"/>
  <c r="AH52"/>
  <c r="AI52"/>
  <c r="N52" s="1"/>
  <c r="AG53"/>
  <c r="AH53"/>
  <c r="AI53"/>
  <c r="C54"/>
  <c r="AG54"/>
  <c r="AH54"/>
  <c r="AI54"/>
  <c r="AG55"/>
  <c r="AH55"/>
  <c r="AI55"/>
  <c r="N55" s="1"/>
  <c r="C56"/>
  <c r="F56"/>
  <c r="R56"/>
  <c r="T56"/>
  <c r="V56"/>
  <c r="AG56"/>
  <c r="AH56"/>
  <c r="AI56"/>
  <c r="AG57"/>
  <c r="AH57"/>
  <c r="AI57"/>
  <c r="N57" s="1"/>
  <c r="T59"/>
  <c r="V59"/>
  <c r="C61"/>
  <c r="R61"/>
  <c r="V61"/>
  <c r="C63"/>
  <c r="C65"/>
  <c r="C66"/>
  <c r="W66"/>
  <c r="I67"/>
  <c r="C68"/>
  <c r="C69"/>
  <c r="R73"/>
  <c r="C74"/>
  <c r="C76"/>
  <c r="C78"/>
  <c r="C79"/>
  <c r="C80"/>
  <c r="C81"/>
  <c r="C82"/>
  <c r="C83"/>
  <c r="T1" i="27"/>
  <c r="V1"/>
  <c r="K2"/>
  <c r="AF3"/>
  <c r="AG3"/>
  <c r="AH3"/>
  <c r="AN3"/>
  <c r="E5"/>
  <c r="H5"/>
  <c r="U7"/>
  <c r="L5" s="1"/>
  <c r="E8"/>
  <c r="H8"/>
  <c r="U8"/>
  <c r="U9"/>
  <c r="U10"/>
  <c r="E12"/>
  <c r="E13" s="1"/>
  <c r="H12"/>
  <c r="H13" s="1"/>
  <c r="L13"/>
  <c r="U14"/>
  <c r="E15"/>
  <c r="H15"/>
  <c r="L15"/>
  <c r="E16"/>
  <c r="H16"/>
  <c r="U18"/>
  <c r="Y18"/>
  <c r="AL19"/>
  <c r="AM19"/>
  <c r="AN19"/>
  <c r="Z20"/>
  <c r="B21"/>
  <c r="Z21"/>
  <c r="AA21"/>
  <c r="I22"/>
  <c r="Z22"/>
  <c r="AC22" s="1"/>
  <c r="B25"/>
  <c r="W26"/>
  <c r="T27"/>
  <c r="AE27"/>
  <c r="AY27"/>
  <c r="AF29"/>
  <c r="AF31" s="1"/>
  <c r="AH29"/>
  <c r="AH31" s="1"/>
  <c r="AJ29"/>
  <c r="S30"/>
  <c r="H31"/>
  <c r="AJ31"/>
  <c r="H32"/>
  <c r="AU32"/>
  <c r="AY32" s="1"/>
  <c r="AV32"/>
  <c r="AW32"/>
  <c r="B33"/>
  <c r="AU33"/>
  <c r="AY33" s="1"/>
  <c r="AY35" s="1"/>
  <c r="AV33"/>
  <c r="AW33"/>
  <c r="B34"/>
  <c r="E34"/>
  <c r="H34"/>
  <c r="U34"/>
  <c r="B35"/>
  <c r="E35"/>
  <c r="U37"/>
  <c r="H39"/>
  <c r="U40"/>
  <c r="U30" s="1"/>
  <c r="H41"/>
  <c r="Z41"/>
  <c r="Z42"/>
  <c r="E43"/>
  <c r="Z43"/>
  <c r="Z44"/>
  <c r="H45"/>
  <c r="B47"/>
  <c r="B48"/>
  <c r="E48"/>
  <c r="H49"/>
  <c r="N49"/>
  <c r="B50"/>
  <c r="H51"/>
  <c r="U51"/>
  <c r="W55" s="1"/>
  <c r="U52"/>
  <c r="Z55" s="1"/>
  <c r="U53"/>
  <c r="AB55" s="1"/>
  <c r="AD55" s="1"/>
  <c r="B55"/>
  <c r="B56"/>
  <c r="B58"/>
  <c r="H60"/>
  <c r="G1" i="18"/>
  <c r="H1"/>
  <c r="I1"/>
  <c r="J4"/>
  <c r="L4"/>
  <c r="C8"/>
  <c r="AC8"/>
  <c r="AC20" s="1"/>
  <c r="C9"/>
  <c r="C10"/>
  <c r="AC10"/>
  <c r="AC19" s="1"/>
  <c r="C11"/>
  <c r="AC11"/>
  <c r="AC12"/>
  <c r="AC13"/>
  <c r="AC14"/>
  <c r="AC15"/>
  <c r="AC16"/>
  <c r="AC17"/>
  <c r="D21"/>
  <c r="F21"/>
  <c r="F22" s="1"/>
  <c r="N21"/>
  <c r="D22"/>
  <c r="I22"/>
  <c r="N22"/>
  <c r="D26"/>
  <c r="F26"/>
  <c r="E30"/>
  <c r="E6" i="16"/>
  <c r="B7"/>
  <c r="B8"/>
  <c r="B9"/>
  <c r="C10" s="1"/>
  <c r="E9"/>
  <c r="B10"/>
  <c r="E10"/>
  <c r="E11"/>
  <c r="E13"/>
  <c r="AA21"/>
  <c r="AA45"/>
  <c r="E7" s="1"/>
  <c r="AA71"/>
  <c r="E8" s="1"/>
  <c r="AA92"/>
  <c r="Q103"/>
  <c r="Y110" s="1"/>
  <c r="U111" s="1"/>
  <c r="AA119"/>
  <c r="AA146"/>
  <c r="AA172"/>
  <c r="E12" s="1"/>
  <c r="AA199"/>
  <c r="D10" i="17"/>
  <c r="D11"/>
  <c r="D12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C52"/>
  <c r="F60" s="1"/>
  <c r="F54"/>
  <c r="F56"/>
  <c r="F61"/>
  <c r="E62"/>
  <c r="E63" s="1"/>
  <c r="I63" s="1"/>
  <c r="J63" s="1"/>
  <c r="F63"/>
  <c r="J74"/>
  <c r="K74"/>
  <c r="D75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E75"/>
  <c r="F94"/>
  <c r="K94"/>
  <c r="B111"/>
  <c r="C115"/>
  <c r="C116" s="1"/>
  <c r="C117" s="1"/>
  <c r="D115"/>
  <c r="E115"/>
  <c r="D116"/>
  <c r="D117" s="1"/>
  <c r="D118" s="1"/>
  <c r="D119" s="1"/>
  <c r="D120" s="1"/>
  <c r="D121" s="1"/>
  <c r="D122" s="1"/>
  <c r="D123" s="1"/>
  <c r="D124" s="1"/>
  <c r="D125" s="1"/>
  <c r="D126" s="1"/>
  <c r="D127" s="1"/>
  <c r="D128" s="1"/>
  <c r="E116"/>
  <c r="E117"/>
  <c r="E118" s="1"/>
  <c r="E119" s="1"/>
  <c r="C118"/>
  <c r="C119"/>
  <c r="C120" s="1"/>
  <c r="C121" s="1"/>
  <c r="C122" s="1"/>
  <c r="C123" s="1"/>
  <c r="C124" s="1"/>
  <c r="C125" s="1"/>
  <c r="C126" s="1"/>
  <c r="C127" s="1"/>
  <c r="C128" s="1"/>
  <c r="E120"/>
  <c r="E121"/>
  <c r="E122" s="1"/>
  <c r="E123" s="1"/>
  <c r="E124" s="1"/>
  <c r="E125" s="1"/>
  <c r="E126" s="1"/>
  <c r="E127" s="1"/>
  <c r="E128" s="1"/>
  <c r="H137"/>
  <c r="C138"/>
  <c r="I138"/>
  <c r="C139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H139"/>
  <c r="J139"/>
  <c r="H140"/>
  <c r="I140"/>
  <c r="H141"/>
  <c r="I141"/>
  <c r="I142"/>
  <c r="J142"/>
  <c r="J162" s="1"/>
  <c r="H143"/>
  <c r="I144"/>
  <c r="H145"/>
  <c r="J145"/>
  <c r="H146"/>
  <c r="I146"/>
  <c r="H147"/>
  <c r="I147"/>
  <c r="I148"/>
  <c r="J148"/>
  <c r="H149"/>
  <c r="I150"/>
  <c r="H151"/>
  <c r="J151"/>
  <c r="H152"/>
  <c r="I152"/>
  <c r="H153"/>
  <c r="I153"/>
  <c r="I154"/>
  <c r="J154"/>
  <c r="H155"/>
  <c r="I156"/>
  <c r="H157"/>
  <c r="J157"/>
  <c r="H158"/>
  <c r="I158"/>
  <c r="H159"/>
  <c r="I159"/>
  <c r="I160"/>
  <c r="J160"/>
  <c r="D162"/>
  <c r="E162"/>
  <c r="I162"/>
  <c r="C4" i="21"/>
  <c r="F4"/>
  <c r="P4" s="1"/>
  <c r="K4"/>
  <c r="AH4" s="1"/>
  <c r="C5"/>
  <c r="H5" s="1"/>
  <c r="T5" s="1"/>
  <c r="I5"/>
  <c r="V5" s="1"/>
  <c r="K5"/>
  <c r="AH5" s="1"/>
  <c r="C6"/>
  <c r="I6" s="1"/>
  <c r="V6" s="1"/>
  <c r="C7"/>
  <c r="C8"/>
  <c r="F8"/>
  <c r="G8"/>
  <c r="I8"/>
  <c r="V8" s="1"/>
  <c r="K8"/>
  <c r="AH8" s="1"/>
  <c r="P8"/>
  <c r="R8"/>
  <c r="C9"/>
  <c r="K9" s="1"/>
  <c r="AH9" s="1"/>
  <c r="C10"/>
  <c r="I10" s="1"/>
  <c r="V10" s="1"/>
  <c r="C11"/>
  <c r="I11" s="1"/>
  <c r="V11" s="1"/>
  <c r="G11"/>
  <c r="R11" s="1"/>
  <c r="H11"/>
  <c r="T11" s="1"/>
  <c r="K11"/>
  <c r="AH11" s="1"/>
  <c r="L11"/>
  <c r="AJ11" s="1"/>
  <c r="C12"/>
  <c r="K12" s="1"/>
  <c r="AH12" s="1"/>
  <c r="F12"/>
  <c r="P12" s="1"/>
  <c r="J12"/>
  <c r="AF12" s="1"/>
  <c r="AL12"/>
  <c r="C13"/>
  <c r="H13" s="1"/>
  <c r="T13" s="1"/>
  <c r="I13"/>
  <c r="V13" s="1"/>
  <c r="K13"/>
  <c r="AH13"/>
  <c r="C14"/>
  <c r="I14" s="1"/>
  <c r="V14" s="1"/>
  <c r="J14"/>
  <c r="AF14" s="1"/>
  <c r="K14"/>
  <c r="AH14" s="1"/>
  <c r="Z14"/>
  <c r="AL14"/>
  <c r="C15"/>
  <c r="I15" s="1"/>
  <c r="V15" s="1"/>
  <c r="K15"/>
  <c r="AH15" s="1"/>
  <c r="C16"/>
  <c r="I16" s="1"/>
  <c r="V16" s="1"/>
  <c r="C17"/>
  <c r="L17" s="1"/>
  <c r="AJ17" s="1"/>
  <c r="C18"/>
  <c r="I18" s="1"/>
  <c r="V18" s="1"/>
  <c r="C19"/>
  <c r="I19" s="1"/>
  <c r="V19" s="1"/>
  <c r="G19"/>
  <c r="R19" s="1"/>
  <c r="H19"/>
  <c r="T19" s="1"/>
  <c r="K19"/>
  <c r="AH19" s="1"/>
  <c r="L19"/>
  <c r="AJ19" s="1"/>
  <c r="C20"/>
  <c r="K20" s="1"/>
  <c r="AH20" s="1"/>
  <c r="F20"/>
  <c r="P20" s="1"/>
  <c r="J20"/>
  <c r="AF20" s="1"/>
  <c r="AL20"/>
  <c r="C21"/>
  <c r="H21" s="1"/>
  <c r="T21" s="1"/>
  <c r="I21"/>
  <c r="V21" s="1"/>
  <c r="K21"/>
  <c r="AH21"/>
  <c r="C22"/>
  <c r="I22" s="1"/>
  <c r="V22" s="1"/>
  <c r="J22"/>
  <c r="AF22" s="1"/>
  <c r="K22"/>
  <c r="AH22" s="1"/>
  <c r="Z22"/>
  <c r="AL22"/>
  <c r="C23"/>
  <c r="I23" s="1"/>
  <c r="V23" s="1"/>
  <c r="K23"/>
  <c r="AH23" s="1"/>
  <c r="C24"/>
  <c r="I24" s="1"/>
  <c r="V24" s="1"/>
  <c r="J24"/>
  <c r="AF24" s="1"/>
  <c r="C25"/>
  <c r="L25" s="1"/>
  <c r="AJ25" s="1"/>
  <c r="C26"/>
  <c r="I26" s="1"/>
  <c r="V26" s="1"/>
  <c r="C27"/>
  <c r="I27" s="1"/>
  <c r="V27" s="1"/>
  <c r="G27"/>
  <c r="R27" s="1"/>
  <c r="H27"/>
  <c r="T27" s="1"/>
  <c r="K27"/>
  <c r="AH27" s="1"/>
  <c r="L27"/>
  <c r="AJ27" s="1"/>
  <c r="C28"/>
  <c r="K28" s="1"/>
  <c r="AH28" s="1"/>
  <c r="F28"/>
  <c r="P28" s="1"/>
  <c r="J28"/>
  <c r="AF28" s="1"/>
  <c r="AL28"/>
  <c r="C29"/>
  <c r="H29" s="1"/>
  <c r="T29" s="1"/>
  <c r="I29"/>
  <c r="V29" s="1"/>
  <c r="K29"/>
  <c r="AH29"/>
  <c r="C30"/>
  <c r="I30" s="1"/>
  <c r="V30" s="1"/>
  <c r="J30"/>
  <c r="AF30" s="1"/>
  <c r="K30"/>
  <c r="AH30" s="1"/>
  <c r="Z30"/>
  <c r="AL30"/>
  <c r="C31"/>
  <c r="C32"/>
  <c r="I32" s="1"/>
  <c r="V32" s="1"/>
  <c r="F32"/>
  <c r="P32" s="1"/>
  <c r="G32"/>
  <c r="R32" s="1"/>
  <c r="J32"/>
  <c r="K32"/>
  <c r="AH32" s="1"/>
  <c r="X32"/>
  <c r="Z32"/>
  <c r="AF32"/>
  <c r="C33"/>
  <c r="L33" s="1"/>
  <c r="AJ33" s="1"/>
  <c r="G33"/>
  <c r="R33" s="1"/>
  <c r="K33"/>
  <c r="AH33" s="1"/>
  <c r="C34"/>
  <c r="AL34" s="1"/>
  <c r="I5" i="22" s="1"/>
  <c r="P34" i="21"/>
  <c r="R34"/>
  <c r="T34"/>
  <c r="V34"/>
  <c r="Z34"/>
  <c r="J35"/>
  <c r="AF35" s="1"/>
  <c r="P35"/>
  <c r="R35"/>
  <c r="T35"/>
  <c r="V35"/>
  <c r="Z35"/>
  <c r="AL35"/>
  <c r="C36"/>
  <c r="K36" s="1"/>
  <c r="AH36" s="1"/>
  <c r="H1" i="22"/>
  <c r="B5"/>
  <c r="S6"/>
  <c r="S7"/>
  <c r="V7"/>
  <c r="P8"/>
  <c r="S8"/>
  <c r="V8"/>
  <c r="P9"/>
  <c r="S9"/>
  <c r="P10"/>
  <c r="S10" s="1"/>
  <c r="P11"/>
  <c r="S11" s="1"/>
  <c r="P12"/>
  <c r="S12"/>
  <c r="V12"/>
  <c r="P13"/>
  <c r="S13"/>
  <c r="P14"/>
  <c r="S14" s="1"/>
  <c r="P15"/>
  <c r="S15" s="1"/>
  <c r="P16"/>
  <c r="S16" s="1"/>
  <c r="P17"/>
  <c r="S17"/>
  <c r="P18"/>
  <c r="S18" s="1"/>
  <c r="P19"/>
  <c r="S19" s="1"/>
  <c r="P20"/>
  <c r="S20" s="1"/>
  <c r="P21"/>
  <c r="S21" s="1"/>
  <c r="P22"/>
  <c r="S22"/>
  <c r="P23"/>
  <c r="S23" s="1"/>
  <c r="P24"/>
  <c r="S24"/>
  <c r="V24"/>
  <c r="B24" s="1"/>
  <c r="P25"/>
  <c r="S25" s="1"/>
  <c r="P26"/>
  <c r="S26"/>
  <c r="P27"/>
  <c r="S27" s="1"/>
  <c r="P28"/>
  <c r="S28"/>
  <c r="P29"/>
  <c r="S29"/>
  <c r="P30"/>
  <c r="S30" s="1"/>
  <c r="P31"/>
  <c r="S31" s="1"/>
  <c r="P32"/>
  <c r="S32" s="1"/>
  <c r="P33"/>
  <c r="S33"/>
  <c r="P34"/>
  <c r="S34" s="1"/>
  <c r="P35"/>
  <c r="S35" s="1"/>
  <c r="I36"/>
  <c r="P36"/>
  <c r="S36" s="1"/>
  <c r="V36"/>
  <c r="B36" s="1"/>
  <c r="P37"/>
  <c r="S37" s="1"/>
  <c r="AN15" i="6" l="1"/>
  <c r="B10" s="1"/>
  <c r="B37" i="27" s="1"/>
  <c r="AF15" i="6"/>
  <c r="AJ17"/>
  <c r="X24" i="21"/>
  <c r="L8" i="27"/>
  <c r="V28" i="22"/>
  <c r="I24"/>
  <c r="B12"/>
  <c r="B8"/>
  <c r="F36" i="21"/>
  <c r="P36" s="1"/>
  <c r="J26"/>
  <c r="X26" s="1"/>
  <c r="G25"/>
  <c r="R25" s="1"/>
  <c r="Z24"/>
  <c r="K24"/>
  <c r="AH24" s="1"/>
  <c r="F24"/>
  <c r="P24" s="1"/>
  <c r="J18"/>
  <c r="X18" s="1"/>
  <c r="G17"/>
  <c r="R17" s="1"/>
  <c r="Z16"/>
  <c r="K16"/>
  <c r="AH16" s="1"/>
  <c r="F16"/>
  <c r="P16" s="1"/>
  <c r="J10"/>
  <c r="X10" s="1"/>
  <c r="F6"/>
  <c r="P6" s="1"/>
  <c r="C11" i="16"/>
  <c r="L25" i="27"/>
  <c r="L22"/>
  <c r="I21"/>
  <c r="K20"/>
  <c r="AR7"/>
  <c r="AP77" i="15"/>
  <c r="AP72"/>
  <c r="AB69"/>
  <c r="AB65"/>
  <c r="AB63"/>
  <c r="AB60"/>
  <c r="AB56"/>
  <c r="M30" i="19"/>
  <c r="AL30" s="1"/>
  <c r="I30"/>
  <c r="AD30" s="1"/>
  <c r="E30"/>
  <c r="V30" s="1"/>
  <c r="L29"/>
  <c r="AJ29" s="1"/>
  <c r="H29"/>
  <c r="AB29" s="1"/>
  <c r="P24"/>
  <c r="AI99" i="4" s="1"/>
  <c r="M22" i="19"/>
  <c r="AL22" s="1"/>
  <c r="I22"/>
  <c r="AD22" s="1"/>
  <c r="E22"/>
  <c r="V22" s="1"/>
  <c r="E21"/>
  <c r="V21" s="1"/>
  <c r="P16"/>
  <c r="AU72" i="4" s="1"/>
  <c r="M14" i="19"/>
  <c r="AL14" s="1"/>
  <c r="I14"/>
  <c r="AD14" s="1"/>
  <c r="E14"/>
  <c r="V14" s="1"/>
  <c r="E13"/>
  <c r="V13" s="1"/>
  <c r="E6"/>
  <c r="V6" s="1"/>
  <c r="E5"/>
  <c r="V5" s="1"/>
  <c r="V42" i="4"/>
  <c r="B35"/>
  <c r="BR5"/>
  <c r="AH4"/>
  <c r="J16" i="21"/>
  <c r="C6" i="16"/>
  <c r="AT5" i="4"/>
  <c r="V32" i="22"/>
  <c r="V16"/>
  <c r="I36" i="21"/>
  <c r="V36" s="1"/>
  <c r="AL32"/>
  <c r="F30"/>
  <c r="P30" s="1"/>
  <c r="L29"/>
  <c r="AJ29" s="1"/>
  <c r="G29"/>
  <c r="R29" s="1"/>
  <c r="K25"/>
  <c r="AH25" s="1"/>
  <c r="G24"/>
  <c r="R24" s="1"/>
  <c r="F22"/>
  <c r="P22" s="1"/>
  <c r="L21"/>
  <c r="AJ21" s="1"/>
  <c r="G21"/>
  <c r="R21" s="1"/>
  <c r="K17"/>
  <c r="AH17" s="1"/>
  <c r="G16"/>
  <c r="R16" s="1"/>
  <c r="F14"/>
  <c r="P14" s="1"/>
  <c r="L13"/>
  <c r="AJ13" s="1"/>
  <c r="G13"/>
  <c r="R13" s="1"/>
  <c r="G9"/>
  <c r="R9" s="1"/>
  <c r="G6"/>
  <c r="R6" s="1"/>
  <c r="G5"/>
  <c r="R5" s="1"/>
  <c r="Y112" i="16"/>
  <c r="U113" s="1"/>
  <c r="U31" i="27"/>
  <c r="H19"/>
  <c r="L20"/>
  <c r="K12"/>
  <c r="F37" i="1"/>
  <c r="F34"/>
  <c r="BB92" i="15"/>
  <c r="AP75"/>
  <c r="AP68"/>
  <c r="AB67"/>
  <c r="AP65"/>
  <c r="AP63"/>
  <c r="AP61"/>
  <c r="J48"/>
  <c r="J43"/>
  <c r="J36"/>
  <c r="J27"/>
  <c r="J33" s="1"/>
  <c r="N26"/>
  <c r="O25"/>
  <c r="J25" s="1"/>
  <c r="P24"/>
  <c r="J22"/>
  <c r="N21"/>
  <c r="N20"/>
  <c r="J20"/>
  <c r="N19"/>
  <c r="N18"/>
  <c r="N17"/>
  <c r="O51" i="6"/>
  <c r="O52" s="1"/>
  <c r="AF11"/>
  <c r="B3"/>
  <c r="B31" i="27" s="1"/>
  <c r="P31" i="19"/>
  <c r="BY99" i="4" s="1"/>
  <c r="F31" i="19"/>
  <c r="N30"/>
  <c r="F30"/>
  <c r="M29"/>
  <c r="AL29" s="1"/>
  <c r="I29"/>
  <c r="AD29" s="1"/>
  <c r="N27"/>
  <c r="H27"/>
  <c r="AB27" s="1"/>
  <c r="P23"/>
  <c r="CK72" i="4" s="1"/>
  <c r="F23" i="19"/>
  <c r="N22"/>
  <c r="F22"/>
  <c r="L21"/>
  <c r="AJ21" s="1"/>
  <c r="H21"/>
  <c r="AB21" s="1"/>
  <c r="P15"/>
  <c r="AO72" i="4" s="1"/>
  <c r="F15" i="19"/>
  <c r="N14"/>
  <c r="F14"/>
  <c r="L13"/>
  <c r="AJ13" s="1"/>
  <c r="H13"/>
  <c r="AB13" s="1"/>
  <c r="M10"/>
  <c r="AL10" s="1"/>
  <c r="I10"/>
  <c r="AD10" s="1"/>
  <c r="E10"/>
  <c r="V10" s="1"/>
  <c r="E9"/>
  <c r="V9" s="1"/>
  <c r="F6"/>
  <c r="L5"/>
  <c r="AJ5" s="1"/>
  <c r="H5"/>
  <c r="AB5" s="1"/>
  <c r="U43" i="4"/>
  <c r="U41"/>
  <c r="AZ6"/>
  <c r="BF4"/>
  <c r="V20" i="22"/>
  <c r="X30" i="21"/>
  <c r="G30"/>
  <c r="R30" s="1"/>
  <c r="X28"/>
  <c r="AL24"/>
  <c r="X22"/>
  <c r="G22"/>
  <c r="R22" s="1"/>
  <c r="X20"/>
  <c r="AL16"/>
  <c r="X14"/>
  <c r="G14"/>
  <c r="R14" s="1"/>
  <c r="X12"/>
  <c r="K6"/>
  <c r="AH6" s="1"/>
  <c r="C12" i="16"/>
  <c r="C8"/>
  <c r="L27" i="27"/>
  <c r="L23"/>
  <c r="L16"/>
  <c r="AP74" i="15"/>
  <c r="AB73"/>
  <c r="AB71"/>
  <c r="AP67"/>
  <c r="AB66"/>
  <c r="AB64"/>
  <c r="G62"/>
  <c r="J46"/>
  <c r="N31"/>
  <c r="N30"/>
  <c r="N29"/>
  <c r="N28"/>
  <c r="N27"/>
  <c r="O26"/>
  <c r="J26" s="1"/>
  <c r="J32" s="1"/>
  <c r="P25"/>
  <c r="N23"/>
  <c r="N22"/>
  <c r="O21"/>
  <c r="O20"/>
  <c r="K20"/>
  <c r="O19"/>
  <c r="O18"/>
  <c r="AB45" i="6"/>
  <c r="AW30"/>
  <c r="B13" i="20"/>
  <c r="B12"/>
  <c r="L31" i="19"/>
  <c r="AJ31" s="1"/>
  <c r="G31"/>
  <c r="Z31" s="1"/>
  <c r="O30"/>
  <c r="L23"/>
  <c r="AJ23" s="1"/>
  <c r="G23"/>
  <c r="Z23" s="1"/>
  <c r="O22"/>
  <c r="M21"/>
  <c r="AL21" s="1"/>
  <c r="I21"/>
  <c r="AD21" s="1"/>
  <c r="M18"/>
  <c r="AL18" s="1"/>
  <c r="I18"/>
  <c r="AD18" s="1"/>
  <c r="E17"/>
  <c r="V17" s="1"/>
  <c r="L15"/>
  <c r="AJ15" s="1"/>
  <c r="G15"/>
  <c r="Z15" s="1"/>
  <c r="O14"/>
  <c r="M13"/>
  <c r="AL13" s="1"/>
  <c r="I13"/>
  <c r="AD13" s="1"/>
  <c r="P11"/>
  <c r="BY45" i="4" s="1"/>
  <c r="F11" i="19"/>
  <c r="N10"/>
  <c r="L9"/>
  <c r="AJ9" s="1"/>
  <c r="L6"/>
  <c r="AJ6" s="1"/>
  <c r="V43" i="4"/>
  <c r="BX6"/>
  <c r="CD4"/>
  <c r="F31" i="21"/>
  <c r="P31" s="1"/>
  <c r="J31"/>
  <c r="Z31"/>
  <c r="AL31"/>
  <c r="V35" i="22"/>
  <c r="F7" i="21"/>
  <c r="P7" s="1"/>
  <c r="V11" i="22"/>
  <c r="F33" i="21"/>
  <c r="P33" s="1"/>
  <c r="J33"/>
  <c r="Z33"/>
  <c r="AL33"/>
  <c r="V37" i="22"/>
  <c r="H28" i="21"/>
  <c r="T28" s="1"/>
  <c r="L28"/>
  <c r="AJ28" s="1"/>
  <c r="F25"/>
  <c r="P25" s="1"/>
  <c r="J25"/>
  <c r="Z25"/>
  <c r="AL25"/>
  <c r="V29" i="22"/>
  <c r="H20" i="21"/>
  <c r="T20" s="1"/>
  <c r="L20"/>
  <c r="AJ20" s="1"/>
  <c r="F17"/>
  <c r="P17" s="1"/>
  <c r="J17"/>
  <c r="Z17"/>
  <c r="AL17"/>
  <c r="V21" i="22"/>
  <c r="H12" i="21"/>
  <c r="T12" s="1"/>
  <c r="L12"/>
  <c r="AJ12" s="1"/>
  <c r="F9"/>
  <c r="P9" s="1"/>
  <c r="V13" i="22"/>
  <c r="H4" i="21"/>
  <c r="T4" s="1"/>
  <c r="Q156" i="16"/>
  <c r="Q183"/>
  <c r="Q83"/>
  <c r="Q55"/>
  <c r="D16" i="1"/>
  <c r="F18"/>
  <c r="J34" i="15"/>
  <c r="J38"/>
  <c r="D36" i="22"/>
  <c r="D28"/>
  <c r="D24"/>
  <c r="D20"/>
  <c r="D16"/>
  <c r="I7"/>
  <c r="I6"/>
  <c r="I31" i="21"/>
  <c r="V31" s="1"/>
  <c r="AF26"/>
  <c r="AF18"/>
  <c r="I7"/>
  <c r="V7" s="1"/>
  <c r="AI60" i="1"/>
  <c r="AI40" s="1"/>
  <c r="M6" i="6" s="1"/>
  <c r="AG103" i="15"/>
  <c r="K72" i="1" s="1"/>
  <c r="L34" i="21"/>
  <c r="AJ34" s="1"/>
  <c r="K35"/>
  <c r="AH35" s="1"/>
  <c r="D6" i="22"/>
  <c r="B7"/>
  <c r="H26" i="21"/>
  <c r="T26" s="1"/>
  <c r="L26"/>
  <c r="AJ26" s="1"/>
  <c r="F23"/>
  <c r="P23" s="1"/>
  <c r="J23"/>
  <c r="Z23"/>
  <c r="AL23"/>
  <c r="V27" i="22"/>
  <c r="H18" i="21"/>
  <c r="T18" s="1"/>
  <c r="L18"/>
  <c r="AJ18" s="1"/>
  <c r="F15"/>
  <c r="P15" s="1"/>
  <c r="J15"/>
  <c r="Z15"/>
  <c r="AL15"/>
  <c r="V19" i="22"/>
  <c r="H10" i="21"/>
  <c r="T10" s="1"/>
  <c r="L10"/>
  <c r="AJ10" s="1"/>
  <c r="Y105" i="16"/>
  <c r="U106" s="1"/>
  <c r="Y107"/>
  <c r="U108" s="1"/>
  <c r="Y109"/>
  <c r="U110" s="1"/>
  <c r="Y111"/>
  <c r="U112" s="1"/>
  <c r="Y113"/>
  <c r="U114" s="1"/>
  <c r="Y106"/>
  <c r="U107" s="1"/>
  <c r="Y114"/>
  <c r="Y108"/>
  <c r="U109" s="1"/>
  <c r="Y102"/>
  <c r="AG90" i="15"/>
  <c r="AG96"/>
  <c r="AG104"/>
  <c r="K73" i="1" s="1"/>
  <c r="H32" i="21"/>
  <c r="T32" s="1"/>
  <c r="L32"/>
  <c r="AJ32" s="1"/>
  <c r="F29"/>
  <c r="P29" s="1"/>
  <c r="J29"/>
  <c r="Z29"/>
  <c r="AL29"/>
  <c r="V33" i="22"/>
  <c r="H24" i="21"/>
  <c r="T24" s="1"/>
  <c r="L24"/>
  <c r="AJ24" s="1"/>
  <c r="F21"/>
  <c r="P21" s="1"/>
  <c r="J21"/>
  <c r="Z21"/>
  <c r="AL21"/>
  <c r="V25" i="22"/>
  <c r="H16" i="21"/>
  <c r="T16" s="1"/>
  <c r="L16"/>
  <c r="AJ16" s="1"/>
  <c r="F13"/>
  <c r="P13" s="1"/>
  <c r="J13"/>
  <c r="Z13"/>
  <c r="AL13"/>
  <c r="V17" i="22"/>
  <c r="H8" i="21"/>
  <c r="T8" s="1"/>
  <c r="F5"/>
  <c r="P5" s="1"/>
  <c r="J5"/>
  <c r="V9" i="22"/>
  <c r="I75" i="17"/>
  <c r="J75" s="1"/>
  <c r="G75"/>
  <c r="E76"/>
  <c r="D13" i="27"/>
  <c r="D14"/>
  <c r="U1"/>
  <c r="B3" s="1"/>
  <c r="AD53" i="1"/>
  <c r="AJ52"/>
  <c r="K52" s="1"/>
  <c r="E33" i="27"/>
  <c r="J6" i="6"/>
  <c r="B24" i="20"/>
  <c r="E24"/>
  <c r="N34" i="19"/>
  <c r="P34" s="1"/>
  <c r="AL34"/>
  <c r="H162" i="17"/>
  <c r="H165" s="1"/>
  <c r="AK12" i="15"/>
  <c r="AO6" s="1"/>
  <c r="V34" i="22"/>
  <c r="V30"/>
  <c r="V26"/>
  <c r="V22"/>
  <c r="V18"/>
  <c r="V14"/>
  <c r="V10"/>
  <c r="V6"/>
  <c r="L35" i="21"/>
  <c r="AJ35" s="1"/>
  <c r="J34"/>
  <c r="H33"/>
  <c r="T33" s="1"/>
  <c r="L31"/>
  <c r="AJ31" s="1"/>
  <c r="G31"/>
  <c r="R31" s="1"/>
  <c r="Z28"/>
  <c r="G28"/>
  <c r="R28" s="1"/>
  <c r="AL26"/>
  <c r="K26"/>
  <c r="AH26" s="1"/>
  <c r="F26"/>
  <c r="P26" s="1"/>
  <c r="H25"/>
  <c r="T25" s="1"/>
  <c r="L23"/>
  <c r="AJ23" s="1"/>
  <c r="G23"/>
  <c r="R23" s="1"/>
  <c r="Z20"/>
  <c r="G20"/>
  <c r="R20" s="1"/>
  <c r="AL18"/>
  <c r="K18"/>
  <c r="AH18" s="1"/>
  <c r="F18"/>
  <c r="P18" s="1"/>
  <c r="H17"/>
  <c r="T17" s="1"/>
  <c r="L15"/>
  <c r="AJ15" s="1"/>
  <c r="G15"/>
  <c r="R15" s="1"/>
  <c r="Z12"/>
  <c r="G12"/>
  <c r="R12" s="1"/>
  <c r="AL10"/>
  <c r="K10"/>
  <c r="AH10" s="1"/>
  <c r="F10"/>
  <c r="P10" s="1"/>
  <c r="H9"/>
  <c r="T9" s="1"/>
  <c r="G7"/>
  <c r="R7" s="1"/>
  <c r="G4"/>
  <c r="R4" s="1"/>
  <c r="F74" i="17"/>
  <c r="G63"/>
  <c r="K63" s="1"/>
  <c r="Q130" i="16"/>
  <c r="Q7"/>
  <c r="AC22" i="18"/>
  <c r="AB27" s="1"/>
  <c r="B9" i="20"/>
  <c r="H30" i="21"/>
  <c r="T30" s="1"/>
  <c r="L30"/>
  <c r="AJ30" s="1"/>
  <c r="F27"/>
  <c r="P27" s="1"/>
  <c r="J27"/>
  <c r="Z27"/>
  <c r="AL27"/>
  <c r="V31" i="22"/>
  <c r="H22" i="21"/>
  <c r="T22" s="1"/>
  <c r="L22"/>
  <c r="AJ22" s="1"/>
  <c r="F19"/>
  <c r="P19" s="1"/>
  <c r="J19"/>
  <c r="Z19"/>
  <c r="AL19"/>
  <c r="V23" i="22"/>
  <c r="H14" i="21"/>
  <c r="T14" s="1"/>
  <c r="L14"/>
  <c r="AJ14" s="1"/>
  <c r="F11"/>
  <c r="P11" s="1"/>
  <c r="J11"/>
  <c r="Z11"/>
  <c r="AL11"/>
  <c r="V15" i="22"/>
  <c r="H6" i="21"/>
  <c r="T6" s="1"/>
  <c r="F52" i="17"/>
  <c r="F55"/>
  <c r="F59"/>
  <c r="F62"/>
  <c r="F75"/>
  <c r="F58"/>
  <c r="F76"/>
  <c r="F53"/>
  <c r="F57"/>
  <c r="AA3" i="27"/>
  <c r="AA5" s="1"/>
  <c r="AM3"/>
  <c r="F28" i="19"/>
  <c r="N28"/>
  <c r="E28"/>
  <c r="V28" s="1"/>
  <c r="I28"/>
  <c r="AD28" s="1"/>
  <c r="M28"/>
  <c r="AL28" s="1"/>
  <c r="H28"/>
  <c r="AB28" s="1"/>
  <c r="O28"/>
  <c r="G28"/>
  <c r="Z28" s="1"/>
  <c r="L28"/>
  <c r="AJ28" s="1"/>
  <c r="P28"/>
  <c r="BG99" i="4" s="1"/>
  <c r="K31" i="21"/>
  <c r="AH31" s="1"/>
  <c r="K7"/>
  <c r="AH7" s="1"/>
  <c r="D7" i="22"/>
  <c r="B6"/>
  <c r="X35" i="21"/>
  <c r="K34"/>
  <c r="AH34" s="1"/>
  <c r="I33"/>
  <c r="V33" s="1"/>
  <c r="H31"/>
  <c r="T31" s="1"/>
  <c r="I28"/>
  <c r="V28" s="1"/>
  <c r="Z26"/>
  <c r="G26"/>
  <c r="R26" s="1"/>
  <c r="I25"/>
  <c r="V25" s="1"/>
  <c r="H23"/>
  <c r="T23" s="1"/>
  <c r="I20"/>
  <c r="V20" s="1"/>
  <c r="Z18"/>
  <c r="G18"/>
  <c r="R18" s="1"/>
  <c r="I17"/>
  <c r="V17" s="1"/>
  <c r="H15"/>
  <c r="T15" s="1"/>
  <c r="I12"/>
  <c r="V12" s="1"/>
  <c r="Z10"/>
  <c r="G10"/>
  <c r="R10" s="1"/>
  <c r="I9"/>
  <c r="V9" s="1"/>
  <c r="H7"/>
  <c r="T7" s="1"/>
  <c r="I4"/>
  <c r="V4" s="1"/>
  <c r="E166" i="17"/>
  <c r="E64"/>
  <c r="Q30" i="16"/>
  <c r="AD90" i="15"/>
  <c r="AW92"/>
  <c r="AF84"/>
  <c r="AB87"/>
  <c r="AI3" i="27"/>
  <c r="E18"/>
  <c r="AA20"/>
  <c r="AJ48" i="1"/>
  <c r="AJ50"/>
  <c r="K50" s="1"/>
  <c r="AJ51"/>
  <c r="K51" s="1"/>
  <c r="J67" i="15"/>
  <c r="I73"/>
  <c r="J76"/>
  <c r="I67"/>
  <c r="J68"/>
  <c r="J70"/>
  <c r="J72"/>
  <c r="J75"/>
  <c r="I76"/>
  <c r="I69"/>
  <c r="I71"/>
  <c r="J73"/>
  <c r="I74"/>
  <c r="J35"/>
  <c r="J42"/>
  <c r="J45"/>
  <c r="F36" i="19"/>
  <c r="G36"/>
  <c r="L36"/>
  <c r="AJ36" s="1"/>
  <c r="E36"/>
  <c r="V36" s="1"/>
  <c r="H36"/>
  <c r="AB36" s="1"/>
  <c r="H16" i="16"/>
  <c r="C7"/>
  <c r="J16" s="1"/>
  <c r="H3" i="18"/>
  <c r="AC21" i="27"/>
  <c r="AE21" s="1"/>
  <c r="D19" s="1"/>
  <c r="Z3"/>
  <c r="AC2" i="1"/>
  <c r="Y42" i="6"/>
  <c r="AR6" i="27"/>
  <c r="K8"/>
  <c r="L10"/>
  <c r="L12"/>
  <c r="K13"/>
  <c r="K15"/>
  <c r="K16"/>
  <c r="L21"/>
  <c r="I23"/>
  <c r="L26"/>
  <c r="L28"/>
  <c r="N10" i="1"/>
  <c r="N13"/>
  <c r="N20"/>
  <c r="N30"/>
  <c r="N35"/>
  <c r="N36"/>
  <c r="N53"/>
  <c r="N54"/>
  <c r="N56"/>
  <c r="F12"/>
  <c r="N15"/>
  <c r="N18"/>
  <c r="N25"/>
  <c r="N31"/>
  <c r="N9"/>
  <c r="N11"/>
  <c r="N12"/>
  <c r="N16"/>
  <c r="N19"/>
  <c r="N26"/>
  <c r="N28"/>
  <c r="N33"/>
  <c r="F11"/>
  <c r="S11"/>
  <c r="N6" i="6"/>
  <c r="AH32"/>
  <c r="AF33"/>
  <c r="B25" i="20"/>
  <c r="E25"/>
  <c r="E23"/>
  <c r="B23"/>
  <c r="B8"/>
  <c r="I16" i="16"/>
  <c r="C13"/>
  <c r="C9"/>
  <c r="AA22" i="27"/>
  <c r="AE22" s="1"/>
  <c r="D20" s="1"/>
  <c r="AC20"/>
  <c r="K5"/>
  <c r="K4"/>
  <c r="AL3"/>
  <c r="C43" i="1"/>
  <c r="AC1"/>
  <c r="I72" i="15"/>
  <c r="J39"/>
  <c r="I36" i="19"/>
  <c r="AD36" s="1"/>
  <c r="G41" i="6"/>
  <c r="F8" i="19"/>
  <c r="E8"/>
  <c r="V8" s="1"/>
  <c r="I8"/>
  <c r="AD8" s="1"/>
  <c r="O8"/>
  <c r="F4"/>
  <c r="X3" s="1"/>
  <c r="X4" s="1"/>
  <c r="X5" s="1"/>
  <c r="X6" s="1"/>
  <c r="X7" s="1"/>
  <c r="X8" s="1"/>
  <c r="X9" s="1"/>
  <c r="X10" s="1"/>
  <c r="E4"/>
  <c r="I4"/>
  <c r="AD4" s="1"/>
  <c r="O4"/>
  <c r="P12"/>
  <c r="CE45" i="4" s="1"/>
  <c r="K25"/>
  <c r="F32" i="19"/>
  <c r="N32"/>
  <c r="E32"/>
  <c r="V32" s="1"/>
  <c r="I32"/>
  <c r="AD32" s="1"/>
  <c r="M32"/>
  <c r="AL32" s="1"/>
  <c r="G29"/>
  <c r="Z29" s="1"/>
  <c r="O29"/>
  <c r="F29"/>
  <c r="N29"/>
  <c r="M33" i="4"/>
  <c r="J21" i="15"/>
  <c r="Y43" i="6"/>
  <c r="AF18"/>
  <c r="AL17"/>
  <c r="AE17"/>
  <c r="B37" i="20"/>
  <c r="B21"/>
  <c r="G17" i="6"/>
  <c r="H42" i="27" s="1"/>
  <c r="G21" i="6"/>
  <c r="H46" i="27" s="1"/>
  <c r="G33" i="19"/>
  <c r="Z33" s="1"/>
  <c r="O33"/>
  <c r="F33"/>
  <c r="N33"/>
  <c r="F24"/>
  <c r="N24"/>
  <c r="E24"/>
  <c r="V24" s="1"/>
  <c r="I24"/>
  <c r="AD24" s="1"/>
  <c r="M24"/>
  <c r="AL24" s="1"/>
  <c r="G24"/>
  <c r="Z24" s="1"/>
  <c r="O24"/>
  <c r="F20"/>
  <c r="N20"/>
  <c r="E20"/>
  <c r="V20" s="1"/>
  <c r="I20"/>
  <c r="AD20" s="1"/>
  <c r="M20"/>
  <c r="AL20" s="1"/>
  <c r="G20"/>
  <c r="Z20" s="1"/>
  <c r="O20"/>
  <c r="F16"/>
  <c r="N16"/>
  <c r="E16"/>
  <c r="V16" s="1"/>
  <c r="I16"/>
  <c r="AD16" s="1"/>
  <c r="M16"/>
  <c r="AL16" s="1"/>
  <c r="G16"/>
  <c r="Z16" s="1"/>
  <c r="O16"/>
  <c r="F12"/>
  <c r="N12"/>
  <c r="E12"/>
  <c r="V12" s="1"/>
  <c r="I12"/>
  <c r="AD12" s="1"/>
  <c r="M12"/>
  <c r="AL12" s="1"/>
  <c r="G12"/>
  <c r="Z12" s="1"/>
  <c r="O12"/>
  <c r="Y28" i="4"/>
  <c r="Y45"/>
  <c r="Y61"/>
  <c r="X49"/>
  <c r="B52"/>
  <c r="Y27"/>
  <c r="D32" i="1"/>
  <c r="AO98" i="15"/>
  <c r="AP98" s="1"/>
  <c r="AQ98" s="1"/>
  <c r="AR98" s="1"/>
  <c r="AP76"/>
  <c r="AB72"/>
  <c r="AP71"/>
  <c r="AB70"/>
  <c r="AP69"/>
  <c r="AB68"/>
  <c r="AP66"/>
  <c r="AB61"/>
  <c r="AB58"/>
  <c r="AB57"/>
  <c r="AB55"/>
  <c r="J31"/>
  <c r="J19"/>
  <c r="J18"/>
  <c r="G37" i="6"/>
  <c r="E36" i="20"/>
  <c r="B35"/>
  <c r="E20"/>
  <c r="B19"/>
  <c r="L32" i="19"/>
  <c r="AJ32" s="1"/>
  <c r="G32"/>
  <c r="Z32" s="1"/>
  <c r="E29"/>
  <c r="V29" s="1"/>
  <c r="BR6" i="4"/>
  <c r="AT6"/>
  <c r="CJ5"/>
  <c r="BL5"/>
  <c r="AN5"/>
  <c r="BX4"/>
  <c r="AZ4"/>
  <c r="N25" i="19"/>
  <c r="F25"/>
  <c r="N21"/>
  <c r="F21"/>
  <c r="N17"/>
  <c r="F17"/>
  <c r="N13"/>
  <c r="F13"/>
  <c r="F9"/>
  <c r="F5"/>
  <c r="CD6" i="4"/>
  <c r="BF6"/>
  <c r="AH6"/>
  <c r="BX5"/>
  <c r="AZ5"/>
  <c r="CJ4"/>
  <c r="BL4"/>
  <c r="AN4"/>
  <c r="M31" i="19"/>
  <c r="AL31" s="1"/>
  <c r="I31"/>
  <c r="AD31" s="1"/>
  <c r="M27"/>
  <c r="AL27" s="1"/>
  <c r="I27"/>
  <c r="AD27" s="1"/>
  <c r="O25"/>
  <c r="M23"/>
  <c r="AL23" s="1"/>
  <c r="I23"/>
  <c r="AD23" s="1"/>
  <c r="O21"/>
  <c r="M19"/>
  <c r="AL19" s="1"/>
  <c r="I19"/>
  <c r="AD19" s="1"/>
  <c r="O17"/>
  <c r="M15"/>
  <c r="AL15" s="1"/>
  <c r="I15"/>
  <c r="AD15" s="1"/>
  <c r="O13"/>
  <c r="M11"/>
  <c r="AL11" s="1"/>
  <c r="I11"/>
  <c r="AD11" s="1"/>
  <c r="O9"/>
  <c r="I7"/>
  <c r="AD7" s="1"/>
  <c r="O5"/>
  <c r="CJ6" i="4"/>
  <c r="BL6"/>
  <c r="AN6"/>
  <c r="CD5"/>
  <c r="BF5"/>
  <c r="AH5"/>
  <c r="BR4"/>
  <c r="B32" i="22" l="1"/>
  <c r="I32"/>
  <c r="B16"/>
  <c r="I16"/>
  <c r="AF16" i="21"/>
  <c r="X16"/>
  <c r="B28" i="22"/>
  <c r="I28"/>
  <c r="AF10" i="21"/>
  <c r="I70" i="15"/>
  <c r="J71"/>
  <c r="J74"/>
  <c r="J69"/>
  <c r="I68"/>
  <c r="I75"/>
  <c r="B20" i="22"/>
  <c r="I20"/>
  <c r="F16" i="16"/>
  <c r="J6" i="21"/>
  <c r="L6" s="1"/>
  <c r="AJ6" s="1"/>
  <c r="AE20" i="27"/>
  <c r="D18" s="1"/>
  <c r="D32" i="22"/>
  <c r="J41" i="15"/>
  <c r="J47"/>
  <c r="J49"/>
  <c r="J37"/>
  <c r="J44"/>
  <c r="M30" i="4"/>
  <c r="M37"/>
  <c r="AG34" i="6"/>
  <c r="AH33"/>
  <c r="O61"/>
  <c r="B45" s="1"/>
  <c r="O70"/>
  <c r="B54" s="1"/>
  <c r="O62"/>
  <c r="B46" s="1"/>
  <c r="O66"/>
  <c r="B50" s="1"/>
  <c r="O57"/>
  <c r="B41" s="1"/>
  <c r="O60"/>
  <c r="B44" s="1"/>
  <c r="O63"/>
  <c r="B47" s="1"/>
  <c r="O65"/>
  <c r="B49" s="1"/>
  <c r="O67"/>
  <c r="B51" s="1"/>
  <c r="O69"/>
  <c r="B53" s="1"/>
  <c r="O58"/>
  <c r="B42" s="1"/>
  <c r="O59"/>
  <c r="B43" s="1"/>
  <c r="O68"/>
  <c r="B52" s="1"/>
  <c r="O64"/>
  <c r="B48" s="1"/>
  <c r="AC3" i="27"/>
  <c r="Z5"/>
  <c r="AC14"/>
  <c r="K48" i="1"/>
  <c r="AF19" i="21"/>
  <c r="X19"/>
  <c r="D31" i="22"/>
  <c r="B31"/>
  <c r="I31"/>
  <c r="AQ19" i="15"/>
  <c r="AQ12"/>
  <c r="AV32" s="1"/>
  <c r="AQ16"/>
  <c r="AQ22"/>
  <c r="AQ21"/>
  <c r="AQ10"/>
  <c r="AQ11"/>
  <c r="AV31" s="1"/>
  <c r="AQ15"/>
  <c r="AQ17"/>
  <c r="AQ13"/>
  <c r="AQ20"/>
  <c r="AQ14"/>
  <c r="AQ18"/>
  <c r="L5" i="21"/>
  <c r="AJ5" s="1"/>
  <c r="X5"/>
  <c r="Z5" s="1"/>
  <c r="D9" i="22" s="1"/>
  <c r="AF5" i="21"/>
  <c r="D17" i="22"/>
  <c r="I17"/>
  <c r="B17"/>
  <c r="AF15" i="21"/>
  <c r="X15"/>
  <c r="D27" i="22"/>
  <c r="B27"/>
  <c r="I27"/>
  <c r="AF33" i="21"/>
  <c r="X33"/>
  <c r="X63" i="4"/>
  <c r="X64"/>
  <c r="AH18" i="6"/>
  <c r="AF19"/>
  <c r="X11" i="19"/>
  <c r="X12" s="1"/>
  <c r="X13" s="1"/>
  <c r="AO10"/>
  <c r="AO3" i="27"/>
  <c r="AL6" s="1"/>
  <c r="Y46" i="6"/>
  <c r="Y50" s="1"/>
  <c r="AF57"/>
  <c r="AH57" s="1"/>
  <c r="B26" s="1"/>
  <c r="B53" i="27" s="1"/>
  <c r="AF62" i="6"/>
  <c r="AF63" s="1"/>
  <c r="E16" i="16"/>
  <c r="K16"/>
  <c r="G16"/>
  <c r="L16"/>
  <c r="L18" s="1"/>
  <c r="E24" s="1"/>
  <c r="J24" s="1"/>
  <c r="AH8" i="27"/>
  <c r="AE9"/>
  <c r="AF8"/>
  <c r="AI8" s="1"/>
  <c r="AH9"/>
  <c r="AF9"/>
  <c r="AF6"/>
  <c r="AH6"/>
  <c r="AH7" s="1"/>
  <c r="I64" i="17"/>
  <c r="J64" s="1"/>
  <c r="E65"/>
  <c r="G64"/>
  <c r="K64" s="1"/>
  <c r="AF27" i="21"/>
  <c r="X27"/>
  <c r="I18" i="22"/>
  <c r="B18"/>
  <c r="D18"/>
  <c r="I34"/>
  <c r="D34"/>
  <c r="B34"/>
  <c r="J9" i="6"/>
  <c r="N31" i="27"/>
  <c r="B7"/>
  <c r="B5"/>
  <c r="C9"/>
  <c r="C17"/>
  <c r="X13" i="21"/>
  <c r="AF13"/>
  <c r="D25" i="22"/>
  <c r="I25"/>
  <c r="B25"/>
  <c r="AF23" i="21"/>
  <c r="X23"/>
  <c r="Y85" i="16"/>
  <c r="U86" s="1"/>
  <c r="Y87"/>
  <c r="Y86"/>
  <c r="U87" s="1"/>
  <c r="Y82"/>
  <c r="D21" i="22"/>
  <c r="B21"/>
  <c r="I21"/>
  <c r="D35"/>
  <c r="B35"/>
  <c r="I35"/>
  <c r="D16" i="16"/>
  <c r="D18" s="1"/>
  <c r="AN33" i="6"/>
  <c r="B17" s="1"/>
  <c r="B44" i="27" s="1"/>
  <c r="F64" i="17"/>
  <c r="K75"/>
  <c r="J9" i="21"/>
  <c r="Y115" i="16"/>
  <c r="U115"/>
  <c r="Y182"/>
  <c r="Y186"/>
  <c r="U187" s="1"/>
  <c r="Y188"/>
  <c r="U189" s="1"/>
  <c r="Y190"/>
  <c r="U191" s="1"/>
  <c r="Y192"/>
  <c r="U193" s="1"/>
  <c r="Y194"/>
  <c r="Y187"/>
  <c r="U188" s="1"/>
  <c r="Y189"/>
  <c r="U190" s="1"/>
  <c r="Y193"/>
  <c r="U194" s="1"/>
  <c r="Y191"/>
  <c r="U192" s="1"/>
  <c r="Y185"/>
  <c r="U186" s="1"/>
  <c r="B13" i="22"/>
  <c r="AF6" i="21"/>
  <c r="AL6" s="1"/>
  <c r="I10" i="22" s="1"/>
  <c r="X6" i="21"/>
  <c r="Z6" s="1"/>
  <c r="D10" i="22" s="1"/>
  <c r="N3" i="18"/>
  <c r="H4"/>
  <c r="Y33" i="16"/>
  <c r="U34" s="1"/>
  <c r="Y35"/>
  <c r="U36" s="1"/>
  <c r="Y37"/>
  <c r="U38" s="1"/>
  <c r="Y39"/>
  <c r="U40" s="1"/>
  <c r="Y29"/>
  <c r="Y38"/>
  <c r="U39" s="1"/>
  <c r="Y32"/>
  <c r="U33" s="1"/>
  <c r="Y40"/>
  <c r="Y36"/>
  <c r="U37" s="1"/>
  <c r="Y34"/>
  <c r="U35" s="1"/>
  <c r="D15" i="22"/>
  <c r="B15"/>
  <c r="I15"/>
  <c r="AB37" i="18"/>
  <c r="AB44"/>
  <c r="AB48"/>
  <c r="AB29"/>
  <c r="AB34"/>
  <c r="AB38"/>
  <c r="AB42"/>
  <c r="AB47"/>
  <c r="AB36"/>
  <c r="AB41"/>
  <c r="AB46"/>
  <c r="AB30"/>
  <c r="AB32"/>
  <c r="AB39"/>
  <c r="AB43"/>
  <c r="AB49"/>
  <c r="AB31"/>
  <c r="AB45"/>
  <c r="AB35"/>
  <c r="AB40"/>
  <c r="AB33"/>
  <c r="AB50"/>
  <c r="AF34" i="21"/>
  <c r="X34"/>
  <c r="I14" i="22"/>
  <c r="D14"/>
  <c r="B14"/>
  <c r="I30"/>
  <c r="D30"/>
  <c r="B30"/>
  <c r="AJ53" i="1"/>
  <c r="K53" s="1"/>
  <c r="AD54"/>
  <c r="G76" i="17"/>
  <c r="E77"/>
  <c r="I76"/>
  <c r="J76" s="1"/>
  <c r="X21" i="21"/>
  <c r="AF21"/>
  <c r="D33" i="22"/>
  <c r="I33"/>
  <c r="B33"/>
  <c r="Y54" i="16"/>
  <c r="Y58"/>
  <c r="U59" s="1"/>
  <c r="Y60"/>
  <c r="U61" s="1"/>
  <c r="Y62"/>
  <c r="U63" s="1"/>
  <c r="Y64"/>
  <c r="U65" s="1"/>
  <c r="Y66"/>
  <c r="Y61"/>
  <c r="U62" s="1"/>
  <c r="Y63"/>
  <c r="U64" s="1"/>
  <c r="Y59"/>
  <c r="U60" s="1"/>
  <c r="Y57"/>
  <c r="U58" s="1"/>
  <c r="Y65"/>
  <c r="U66" s="1"/>
  <c r="AF17" i="21"/>
  <c r="X17"/>
  <c r="D29" i="22"/>
  <c r="I29"/>
  <c r="B29"/>
  <c r="B11"/>
  <c r="AF31" i="21"/>
  <c r="X31"/>
  <c r="J4"/>
  <c r="J8"/>
  <c r="I38" i="19"/>
  <c r="Z36"/>
  <c r="Y9" i="16"/>
  <c r="U10" s="1"/>
  <c r="Y13"/>
  <c r="U14" s="1"/>
  <c r="Y16"/>
  <c r="Y12"/>
  <c r="U13" s="1"/>
  <c r="Y15"/>
  <c r="U16" s="1"/>
  <c r="Y6"/>
  <c r="Y10"/>
  <c r="U11" s="1"/>
  <c r="Y11"/>
  <c r="U12" s="1"/>
  <c r="Y14"/>
  <c r="U15" s="1"/>
  <c r="I22" i="22"/>
  <c r="B22"/>
  <c r="D22"/>
  <c r="B9" i="4"/>
  <c r="R2" i="20"/>
  <c r="B4" s="1"/>
  <c r="S8" i="27"/>
  <c r="O4" i="22"/>
  <c r="AF17" i="6"/>
  <c r="AG17" s="1"/>
  <c r="C10" i="17"/>
  <c r="V3" i="19"/>
  <c r="V4"/>
  <c r="B10" i="4"/>
  <c r="K6" s="1"/>
  <c r="B9" i="6"/>
  <c r="B36" i="27" s="1"/>
  <c r="S2" i="20"/>
  <c r="S9" i="27"/>
  <c r="P3" i="22"/>
  <c r="AO28" i="15"/>
  <c r="AO8"/>
  <c r="AO10" s="1"/>
  <c r="AF11" i="21"/>
  <c r="X11"/>
  <c r="D23" i="22"/>
  <c r="B23"/>
  <c r="I23"/>
  <c r="Y129" i="16"/>
  <c r="Y133"/>
  <c r="U134" s="1"/>
  <c r="Y135"/>
  <c r="U136" s="1"/>
  <c r="Y137"/>
  <c r="U138" s="1"/>
  <c r="Y139"/>
  <c r="U140" s="1"/>
  <c r="Y141"/>
  <c r="Y138"/>
  <c r="U139" s="1"/>
  <c r="Y132"/>
  <c r="U133" s="1"/>
  <c r="Y140"/>
  <c r="U141" s="1"/>
  <c r="Y136"/>
  <c r="U137" s="1"/>
  <c r="Y134"/>
  <c r="U135" s="1"/>
  <c r="B10" i="22"/>
  <c r="I26"/>
  <c r="D26"/>
  <c r="B26"/>
  <c r="B9"/>
  <c r="X29" i="21"/>
  <c r="AF29"/>
  <c r="M31" i="4"/>
  <c r="M38"/>
  <c r="D19" i="22"/>
  <c r="B19"/>
  <c r="I19"/>
  <c r="Y158" i="16"/>
  <c r="U159" s="1"/>
  <c r="Y160"/>
  <c r="U161" s="1"/>
  <c r="Y162"/>
  <c r="U163" s="1"/>
  <c r="Y164"/>
  <c r="U165" s="1"/>
  <c r="Y166"/>
  <c r="U167" s="1"/>
  <c r="Y163"/>
  <c r="U164" s="1"/>
  <c r="Y155"/>
  <c r="Y165"/>
  <c r="U166" s="1"/>
  <c r="Y161"/>
  <c r="U162" s="1"/>
  <c r="Y159"/>
  <c r="U160" s="1"/>
  <c r="Y167"/>
  <c r="AF25" i="21"/>
  <c r="X25"/>
  <c r="D37" i="22"/>
  <c r="B37"/>
  <c r="I37"/>
  <c r="AO12" i="19"/>
  <c r="M16" i="16"/>
  <c r="J7" i="21"/>
  <c r="AO11" i="19" l="1"/>
  <c r="AL7" i="27"/>
  <c r="AO7" s="1"/>
  <c r="AO6"/>
  <c r="AD55" i="1"/>
  <c r="AJ54"/>
  <c r="K54" s="1"/>
  <c r="AG35" i="6"/>
  <c r="AN35" s="1"/>
  <c r="B18" s="1"/>
  <c r="B45" i="27" s="1"/>
  <c r="AI34" i="6"/>
  <c r="E18" s="1"/>
  <c r="E45" i="27" s="1"/>
  <c r="AF7" i="21"/>
  <c r="X7"/>
  <c r="Z7" s="1"/>
  <c r="D11" i="22" s="1"/>
  <c r="L7" i="21"/>
  <c r="AJ7" s="1"/>
  <c r="AF4"/>
  <c r="X4"/>
  <c r="Z4" s="1"/>
  <c r="D8" i="22" s="1"/>
  <c r="L4" i="21"/>
  <c r="AJ4" s="1"/>
  <c r="N34" i="27"/>
  <c r="AX3" i="6"/>
  <c r="AX11"/>
  <c r="AV30" i="15"/>
  <c r="AO25"/>
  <c r="AO18"/>
  <c r="AO19"/>
  <c r="B4" i="27"/>
  <c r="K76" i="17"/>
  <c r="AI9" i="27"/>
  <c r="AO13" i="15"/>
  <c r="AN8" i="27"/>
  <c r="K10" s="1"/>
  <c r="AK9"/>
  <c r="AN9"/>
  <c r="K11" s="1"/>
  <c r="L11" s="1"/>
  <c r="AM8"/>
  <c r="H10" s="1"/>
  <c r="AM9"/>
  <c r="H11" s="1"/>
  <c r="I11" s="1"/>
  <c r="AL8"/>
  <c r="AL9"/>
  <c r="AE14"/>
  <c r="D11" s="1"/>
  <c r="AN6"/>
  <c r="AN7" s="1"/>
  <c r="AL16" i="6"/>
  <c r="AI17"/>
  <c r="AN17" s="1"/>
  <c r="B11" s="1"/>
  <c r="B38" i="27" s="1"/>
  <c r="X8" i="21"/>
  <c r="Z8" s="1"/>
  <c r="D12" i="22" s="1"/>
  <c r="AF8" i="21"/>
  <c r="AL8" s="1"/>
  <c r="I12" i="22" s="1"/>
  <c r="L8" i="21"/>
  <c r="AJ8" s="1"/>
  <c r="U67" i="16"/>
  <c r="Y67"/>
  <c r="I77" i="17"/>
  <c r="J77" s="1"/>
  <c r="E78"/>
  <c r="F77"/>
  <c r="G77"/>
  <c r="N4" i="18"/>
  <c r="P5" s="1"/>
  <c r="H21"/>
  <c r="AI6" i="27"/>
  <c r="AF7"/>
  <c r="AI7" s="1"/>
  <c r="X14" i="19"/>
  <c r="AO13"/>
  <c r="AA10" i="27"/>
  <c r="Y10"/>
  <c r="Z10"/>
  <c r="AC10" s="1"/>
  <c r="AO17" i="15"/>
  <c r="AO21"/>
  <c r="B3" i="22"/>
  <c r="AO20" i="15"/>
  <c r="AO16"/>
  <c r="Y88" i="16"/>
  <c r="U88"/>
  <c r="AG20" i="6"/>
  <c r="AH19"/>
  <c r="AN19" s="1"/>
  <c r="B12" s="1"/>
  <c r="B39" i="27" s="1"/>
  <c r="H18" i="16"/>
  <c r="F18"/>
  <c r="D29" s="1"/>
  <c r="I29" s="1"/>
  <c r="K18"/>
  <c r="E18"/>
  <c r="J18"/>
  <c r="V34" i="18" s="1"/>
  <c r="G18" i="16"/>
  <c r="D30" s="1"/>
  <c r="I30" s="1"/>
  <c r="M18"/>
  <c r="I18"/>
  <c r="Y168"/>
  <c r="U168"/>
  <c r="Y142"/>
  <c r="U142"/>
  <c r="J10" i="17"/>
  <c r="J11"/>
  <c r="J12"/>
  <c r="J13"/>
  <c r="H14"/>
  <c r="H15"/>
  <c r="H16"/>
  <c r="H17"/>
  <c r="F18"/>
  <c r="F19"/>
  <c r="F20"/>
  <c r="F21"/>
  <c r="F34"/>
  <c r="F36"/>
  <c r="F9"/>
  <c r="F10"/>
  <c r="H11"/>
  <c r="F15"/>
  <c r="J16"/>
  <c r="H20"/>
  <c r="J21"/>
  <c r="J22"/>
  <c r="F24"/>
  <c r="H25"/>
  <c r="J26"/>
  <c r="F28"/>
  <c r="H29"/>
  <c r="J30"/>
  <c r="F32"/>
  <c r="H33"/>
  <c r="J35"/>
  <c r="F11"/>
  <c r="H12"/>
  <c r="F16"/>
  <c r="J17"/>
  <c r="J18"/>
  <c r="H21"/>
  <c r="H22"/>
  <c r="J23"/>
  <c r="F25"/>
  <c r="H26"/>
  <c r="J27"/>
  <c r="F29"/>
  <c r="H30"/>
  <c r="J31"/>
  <c r="F33"/>
  <c r="J34"/>
  <c r="J38"/>
  <c r="H9"/>
  <c r="H13"/>
  <c r="H18"/>
  <c r="H23"/>
  <c r="F26"/>
  <c r="J28"/>
  <c r="H31"/>
  <c r="H34"/>
  <c r="F12"/>
  <c r="F17"/>
  <c r="J24"/>
  <c r="J37"/>
  <c r="H10"/>
  <c r="F13"/>
  <c r="J15"/>
  <c r="J20"/>
  <c r="F23"/>
  <c r="J25"/>
  <c r="H28"/>
  <c r="F31"/>
  <c r="J33"/>
  <c r="J14"/>
  <c r="J19"/>
  <c r="F22"/>
  <c r="H27"/>
  <c r="F30"/>
  <c r="J32"/>
  <c r="J9"/>
  <c r="F14"/>
  <c r="H19"/>
  <c r="H24"/>
  <c r="F27"/>
  <c r="J29"/>
  <c r="H32"/>
  <c r="J36"/>
  <c r="U17" i="16"/>
  <c r="Y17"/>
  <c r="Y41"/>
  <c r="U41"/>
  <c r="Y195"/>
  <c r="U195"/>
  <c r="AF9" i="21"/>
  <c r="L9"/>
  <c r="AJ9" s="1"/>
  <c r="X9"/>
  <c r="Z9" s="1"/>
  <c r="D13" i="22" s="1"/>
  <c r="I65" i="17"/>
  <c r="J65" s="1"/>
  <c r="G65"/>
  <c r="K65" s="1"/>
  <c r="E66"/>
  <c r="F65"/>
  <c r="AC5" i="27"/>
  <c r="Z7"/>
  <c r="S4" i="18"/>
  <c r="G42" i="6" s="1"/>
  <c r="AM6" i="27"/>
  <c r="AM7" s="1"/>
  <c r="AL5" i="21"/>
  <c r="I9" i="22" s="1"/>
  <c r="AO14" i="15"/>
  <c r="AO15"/>
  <c r="AO22"/>
  <c r="AV42" s="1"/>
  <c r="AN16" l="1"/>
  <c r="AV35"/>
  <c r="F2"/>
  <c r="D3" s="1"/>
  <c r="O3"/>
  <c r="AN15"/>
  <c r="AV34"/>
  <c r="Z8" i="27"/>
  <c r="AC8" s="1"/>
  <c r="AC7"/>
  <c r="D28" i="16"/>
  <c r="I28" s="1"/>
  <c r="E28"/>
  <c r="AV41" i="15"/>
  <c r="AN22"/>
  <c r="U22" i="27"/>
  <c r="Z33"/>
  <c r="AN14" i="15"/>
  <c r="AV33"/>
  <c r="AL9" i="21"/>
  <c r="I13" i="22" s="1"/>
  <c r="K77" i="17"/>
  <c r="U23" i="27"/>
  <c r="Z34"/>
  <c r="AN21" i="15"/>
  <c r="AV40"/>
  <c r="H22" i="18"/>
  <c r="D29"/>
  <c r="I78" i="17"/>
  <c r="J78" s="1"/>
  <c r="G78"/>
  <c r="K78" s="1"/>
  <c r="E79"/>
  <c r="F78"/>
  <c r="AO8" i="27"/>
  <c r="E10"/>
  <c r="AV38" i="15"/>
  <c r="AN19"/>
  <c r="AX5" i="6"/>
  <c r="AX17" s="1"/>
  <c r="AX4"/>
  <c r="AX14" s="1"/>
  <c r="F41" i="17"/>
  <c r="C14" s="1"/>
  <c r="AX28" i="6" s="1"/>
  <c r="J41" i="17"/>
  <c r="C22" s="1"/>
  <c r="AL4" i="21"/>
  <c r="I8" i="22" s="1"/>
  <c r="I66" i="17"/>
  <c r="J66" s="1"/>
  <c r="G66"/>
  <c r="K66" s="1"/>
  <c r="E67"/>
  <c r="F66"/>
  <c r="X15" i="19"/>
  <c r="AO14"/>
  <c r="Z9" i="27"/>
  <c r="AA9"/>
  <c r="AA7"/>
  <c r="AA8" s="1"/>
  <c r="AG21" i="6"/>
  <c r="AN21" s="1"/>
  <c r="B13" s="1"/>
  <c r="B40" i="27" s="1"/>
  <c r="AI20" i="6"/>
  <c r="E13" s="1"/>
  <c r="AN17" i="15"/>
  <c r="AV36"/>
  <c r="AN18"/>
  <c r="AV37"/>
  <c r="AO9" i="27"/>
  <c r="E11"/>
  <c r="F11" s="1"/>
  <c r="AN20" i="15"/>
  <c r="AV39"/>
  <c r="J11" i="6"/>
  <c r="AX12"/>
  <c r="BC12" s="1"/>
  <c r="G11" s="1"/>
  <c r="H36" i="27" s="1"/>
  <c r="AD56" i="1"/>
  <c r="AJ55"/>
  <c r="H41" i="17"/>
  <c r="C18" s="1"/>
  <c r="AL7" i="21"/>
  <c r="I11" i="22" s="1"/>
  <c r="X16" i="19" l="1"/>
  <c r="AO15"/>
  <c r="BG28" i="6"/>
  <c r="J18" s="1"/>
  <c r="N43" i="27" s="1"/>
  <c r="BA28" i="6"/>
  <c r="BF28" s="1"/>
  <c r="G18" s="1"/>
  <c r="H43" i="27" s="1"/>
  <c r="G79" i="17"/>
  <c r="K79" s="1"/>
  <c r="E80"/>
  <c r="I79"/>
  <c r="J79" s="1"/>
  <c r="F79"/>
  <c r="D30" i="18"/>
  <c r="AD57" i="1"/>
  <c r="AJ57" s="1"/>
  <c r="K57" s="1"/>
  <c r="AJ56"/>
  <c r="K56" s="1"/>
  <c r="K55"/>
  <c r="AJ60"/>
  <c r="S79" s="1"/>
  <c r="E40" i="27"/>
  <c r="E23" i="6"/>
  <c r="I67" i="17"/>
  <c r="J67" s="1"/>
  <c r="G67"/>
  <c r="K67" s="1"/>
  <c r="E68"/>
  <c r="F67"/>
  <c r="BA17" i="6"/>
  <c r="J13" s="1"/>
  <c r="N38" i="27" s="1"/>
  <c r="AX18" i="6"/>
  <c r="BC18" s="1"/>
  <c r="G13" s="1"/>
  <c r="H38" i="27" s="1"/>
  <c r="AC9"/>
  <c r="N36"/>
  <c r="BA14" i="6"/>
  <c r="J12" s="1"/>
  <c r="N37" i="27" s="1"/>
  <c r="AX15" i="6"/>
  <c r="BC15" s="1"/>
  <c r="G12" s="1"/>
  <c r="H37" i="27" s="1"/>
  <c r="U21"/>
  <c r="Z32"/>
  <c r="H6" i="18"/>
  <c r="C6" s="1"/>
  <c r="J14" i="6" l="1"/>
  <c r="N39" i="27" s="1"/>
  <c r="Y44" s="1"/>
  <c r="U24"/>
  <c r="H21"/>
  <c r="X41"/>
  <c r="K21"/>
  <c r="E21"/>
  <c r="X17" i="19"/>
  <c r="AO16"/>
  <c r="Z36" i="27"/>
  <c r="Z37" s="1"/>
  <c r="Z38" s="1"/>
  <c r="AA31"/>
  <c r="AA32" s="1"/>
  <c r="G68" i="17"/>
  <c r="E69"/>
  <c r="I68"/>
  <c r="J68" s="1"/>
  <c r="F68"/>
  <c r="G80"/>
  <c r="F80"/>
  <c r="E81"/>
  <c r="I80"/>
  <c r="J80" s="1"/>
  <c r="E50" i="27"/>
  <c r="O24" i="6"/>
  <c r="AA33" i="27" l="1"/>
  <c r="X18" i="19"/>
  <c r="AO17"/>
  <c r="E25" i="27"/>
  <c r="AA41"/>
  <c r="AA43"/>
  <c r="AB43" s="1"/>
  <c r="AC43" s="1"/>
  <c r="AA42"/>
  <c r="AB42" s="1"/>
  <c r="AC42" s="1"/>
  <c r="V23"/>
  <c r="W23" s="1"/>
  <c r="V22"/>
  <c r="W22" s="1"/>
  <c r="H25"/>
  <c r="U46"/>
  <c r="K80" i="17"/>
  <c r="K68"/>
  <c r="K25" i="27"/>
  <c r="O37" i="6"/>
  <c r="P24"/>
  <c r="I69" i="17"/>
  <c r="J69" s="1"/>
  <c r="E70"/>
  <c r="G69"/>
  <c r="F69"/>
  <c r="V21" i="27"/>
  <c r="I81" i="17"/>
  <c r="J81" s="1"/>
  <c r="E82"/>
  <c r="G81"/>
  <c r="K81" s="1"/>
  <c r="F81"/>
  <c r="AA36" i="27" l="1"/>
  <c r="AA34"/>
  <c r="W21"/>
  <c r="V25"/>
  <c r="V24"/>
  <c r="AB41"/>
  <c r="AC41" s="1"/>
  <c r="AA44"/>
  <c r="E71" i="17"/>
  <c r="G70"/>
  <c r="I70"/>
  <c r="J70" s="1"/>
  <c r="F70"/>
  <c r="O32" i="6"/>
  <c r="O36" s="1"/>
  <c r="B25" s="1"/>
  <c r="B52" i="27" s="1"/>
  <c r="AD62" i="6"/>
  <c r="G82" i="17"/>
  <c r="K82" s="1"/>
  <c r="E83"/>
  <c r="I82"/>
  <c r="J82" s="1"/>
  <c r="F82"/>
  <c r="K69"/>
  <c r="X19" i="19"/>
  <c r="AO18"/>
  <c r="I71" i="17" l="1"/>
  <c r="J71" s="1"/>
  <c r="F71"/>
  <c r="E72"/>
  <c r="G71"/>
  <c r="K71" s="1"/>
  <c r="X21" i="27"/>
  <c r="E23" s="1"/>
  <c r="E27" s="1"/>
  <c r="W25"/>
  <c r="E22"/>
  <c r="X23"/>
  <c r="K23" s="1"/>
  <c r="K27" s="1"/>
  <c r="H22"/>
  <c r="H26" s="1"/>
  <c r="H28" s="1"/>
  <c r="X22"/>
  <c r="H23" s="1"/>
  <c r="H27" s="1"/>
  <c r="K22"/>
  <c r="G83" i="17"/>
  <c r="K83" s="1"/>
  <c r="E84"/>
  <c r="I83"/>
  <c r="J83" s="1"/>
  <c r="F83"/>
  <c r="AH62" i="6"/>
  <c r="E27" s="1"/>
  <c r="AD63"/>
  <c r="AH63" s="1"/>
  <c r="B27" s="1"/>
  <c r="B54" i="27" s="1"/>
  <c r="K70" i="17"/>
  <c r="X20" i="19"/>
  <c r="AO19"/>
  <c r="G84" i="17" l="1"/>
  <c r="K84" s="1"/>
  <c r="I84"/>
  <c r="J84" s="1"/>
  <c r="E85"/>
  <c r="F84"/>
  <c r="E54" i="27"/>
  <c r="X21" i="19"/>
  <c r="AO20"/>
  <c r="K26" i="27"/>
  <c r="K28" s="1"/>
  <c r="E26"/>
  <c r="E28" s="1"/>
  <c r="T24"/>
  <c r="X48"/>
  <c r="I72" i="17"/>
  <c r="J72" s="1"/>
  <c r="E73"/>
  <c r="G72"/>
  <c r="F72"/>
  <c r="E28" i="6" l="1"/>
  <c r="E29" s="1"/>
  <c r="E56" i="27" s="1"/>
  <c r="H36" i="21"/>
  <c r="T36" s="1"/>
  <c r="K72" i="17"/>
  <c r="U45" i="27"/>
  <c r="U48" s="1"/>
  <c r="U47"/>
  <c r="I73" i="17"/>
  <c r="J73" s="1"/>
  <c r="G73"/>
  <c r="K73" s="1"/>
  <c r="F73"/>
  <c r="J29" i="6"/>
  <c r="N54" i="27" s="1"/>
  <c r="X22" i="19"/>
  <c r="AO21"/>
  <c r="I85" i="17"/>
  <c r="J85" s="1"/>
  <c r="E86"/>
  <c r="G85"/>
  <c r="K85" s="1"/>
  <c r="F85"/>
  <c r="AD66" i="6" l="1"/>
  <c r="AH66" s="1"/>
  <c r="E30" s="1"/>
  <c r="E55" i="27"/>
  <c r="X23" i="19"/>
  <c r="AO22"/>
  <c r="AD67" i="6"/>
  <c r="AH67" s="1"/>
  <c r="B30" s="1"/>
  <c r="B57" i="27" s="1"/>
  <c r="G86" i="17"/>
  <c r="K86" s="1"/>
  <c r="E87"/>
  <c r="I86"/>
  <c r="J86" s="1"/>
  <c r="F86"/>
  <c r="X24" i="19" l="1"/>
  <c r="AO23"/>
  <c r="I87" i="17"/>
  <c r="J87" s="1"/>
  <c r="G87"/>
  <c r="E88"/>
  <c r="F87"/>
  <c r="E57" i="27"/>
  <c r="E31" i="6"/>
  <c r="BP21" l="1"/>
  <c r="BP24" s="1"/>
  <c r="BP40" s="1"/>
  <c r="BP41" s="1"/>
  <c r="C8" i="15"/>
  <c r="AO57"/>
  <c r="AO80" s="1"/>
  <c r="AO92" s="1"/>
  <c r="AT96" s="1"/>
  <c r="E58" i="27"/>
  <c r="AP57" i="15"/>
  <c r="AP80" s="1"/>
  <c r="AP92" s="1"/>
  <c r="AU96" s="1"/>
  <c r="S20" i="1"/>
  <c r="G88" i="17"/>
  <c r="K88" s="1"/>
  <c r="I88"/>
  <c r="J88" s="1"/>
  <c r="E89"/>
  <c r="F88"/>
  <c r="X25" i="19"/>
  <c r="AO24"/>
  <c r="K87" i="17"/>
  <c r="X26" i="19" l="1"/>
  <c r="AO25"/>
  <c r="G89" i="17"/>
  <c r="E90"/>
  <c r="I89"/>
  <c r="J89" s="1"/>
  <c r="F89"/>
  <c r="BT41" i="6"/>
  <c r="U29" i="4" s="1"/>
  <c r="BP47" i="6"/>
  <c r="BY47" s="1"/>
  <c r="V25" i="4" s="1"/>
  <c r="D31" i="1"/>
  <c r="S87"/>
  <c r="F33"/>
  <c r="G8" i="15"/>
  <c r="C11"/>
  <c r="X27" i="19" l="1"/>
  <c r="AO26"/>
  <c r="M5" i="6"/>
  <c r="M4" s="1"/>
  <c r="M2" s="1"/>
  <c r="AI5" i="1"/>
  <c r="C14" i="15"/>
  <c r="C12"/>
  <c r="K89" i="17"/>
  <c r="AA6" i="15"/>
  <c r="AA37" s="1"/>
  <c r="AA39" s="1"/>
  <c r="G9"/>
  <c r="B6" i="16"/>
  <c r="G90" i="17"/>
  <c r="K90" s="1"/>
  <c r="I90"/>
  <c r="J90" s="1"/>
  <c r="E91"/>
  <c r="F90"/>
  <c r="X28" i="19" l="1"/>
  <c r="AO27"/>
  <c r="Q6" i="16"/>
  <c r="Q54"/>
  <c r="Q102"/>
  <c r="E23"/>
  <c r="J23" s="1"/>
  <c r="Q29"/>
  <c r="Q182"/>
  <c r="Q82"/>
  <c r="Q129"/>
  <c r="Q155"/>
  <c r="G10" i="15"/>
  <c r="G11"/>
  <c r="H11" s="1"/>
  <c r="H12" s="1"/>
  <c r="B22" i="4"/>
  <c r="K3" s="1"/>
  <c r="B4" i="6"/>
  <c r="S6" i="27"/>
  <c r="B6" s="1"/>
  <c r="C22" i="4"/>
  <c r="R1" i="20"/>
  <c r="B3" s="1"/>
  <c r="O3" i="22"/>
  <c r="B2" s="1"/>
  <c r="I91" i="17"/>
  <c r="J91" s="1"/>
  <c r="E92"/>
  <c r="G91"/>
  <c r="K91" s="1"/>
  <c r="F91"/>
  <c r="AD39" i="15"/>
  <c r="AG39" s="1"/>
  <c r="G61"/>
  <c r="X29" i="19" l="1"/>
  <c r="AO28"/>
  <c r="V144" i="16"/>
  <c r="M11" s="1"/>
  <c r="Z144"/>
  <c r="W144"/>
  <c r="AB144"/>
  <c r="H11" s="1"/>
  <c r="AA144"/>
  <c r="T144" s="1"/>
  <c r="X144"/>
  <c r="AC144"/>
  <c r="I11" s="1"/>
  <c r="Y144"/>
  <c r="L11" s="1"/>
  <c r="I19" i="15"/>
  <c r="F20" s="1"/>
  <c r="I20"/>
  <c r="F21" s="1"/>
  <c r="I21"/>
  <c r="F22" s="1"/>
  <c r="I22"/>
  <c r="F23" s="1"/>
  <c r="I32"/>
  <c r="F33" s="1"/>
  <c r="I37"/>
  <c r="F38" s="1"/>
  <c r="I40"/>
  <c r="F41" s="1"/>
  <c r="I44"/>
  <c r="F45" s="1"/>
  <c r="I45"/>
  <c r="F46" s="1"/>
  <c r="I18"/>
  <c r="F19" s="1"/>
  <c r="I31"/>
  <c r="F32" s="1"/>
  <c r="I41"/>
  <c r="F42" s="1"/>
  <c r="I47"/>
  <c r="F48" s="1"/>
  <c r="I49"/>
  <c r="I24"/>
  <c r="F25" s="1"/>
  <c r="I25"/>
  <c r="F26" s="1"/>
  <c r="I26"/>
  <c r="F27" s="1"/>
  <c r="I27"/>
  <c r="F28" s="1"/>
  <c r="I36"/>
  <c r="F37" s="1"/>
  <c r="I38"/>
  <c r="F39" s="1"/>
  <c r="I39"/>
  <c r="F40" s="1"/>
  <c r="I43"/>
  <c r="F44" s="1"/>
  <c r="I46"/>
  <c r="F47" s="1"/>
  <c r="I48"/>
  <c r="F49" s="1"/>
  <c r="I28"/>
  <c r="F29" s="1"/>
  <c r="I23"/>
  <c r="F24" s="1"/>
  <c r="I29"/>
  <c r="F30" s="1"/>
  <c r="I30"/>
  <c r="F31" s="1"/>
  <c r="I34"/>
  <c r="F35" s="1"/>
  <c r="I42"/>
  <c r="F43" s="1"/>
  <c r="I33"/>
  <c r="F34" s="1"/>
  <c r="I35"/>
  <c r="F36" s="1"/>
  <c r="X117" i="16"/>
  <c r="AB117"/>
  <c r="H10" s="1"/>
  <c r="W117"/>
  <c r="AC117"/>
  <c r="I10" s="1"/>
  <c r="V117"/>
  <c r="M10" s="1"/>
  <c r="AA117"/>
  <c r="T117" s="1"/>
  <c r="Z117"/>
  <c r="Y117"/>
  <c r="L10" s="1"/>
  <c r="X170"/>
  <c r="AB170"/>
  <c r="H12" s="1"/>
  <c r="Z170"/>
  <c r="Y170"/>
  <c r="L12" s="1"/>
  <c r="AA170"/>
  <c r="T170" s="1"/>
  <c r="V170"/>
  <c r="M12" s="1"/>
  <c r="W170"/>
  <c r="AC170"/>
  <c r="I12" s="1"/>
  <c r="X43"/>
  <c r="AB43"/>
  <c r="H7" s="1"/>
  <c r="Y43"/>
  <c r="L7" s="1"/>
  <c r="W43"/>
  <c r="AC43"/>
  <c r="I7" s="1"/>
  <c r="Z43"/>
  <c r="V43"/>
  <c r="M7" s="1"/>
  <c r="AA43"/>
  <c r="T43" s="1"/>
  <c r="W19"/>
  <c r="AA19"/>
  <c r="T19" s="1"/>
  <c r="X19"/>
  <c r="AC19"/>
  <c r="I6" s="1"/>
  <c r="V19"/>
  <c r="M6" s="1"/>
  <c r="AB19"/>
  <c r="H6" s="1"/>
  <c r="Y19"/>
  <c r="L6" s="1"/>
  <c r="Z19"/>
  <c r="F81" i="15"/>
  <c r="G81"/>
  <c r="H81"/>
  <c r="AA48" s="1"/>
  <c r="I92" i="17"/>
  <c r="J92" s="1"/>
  <c r="E93"/>
  <c r="G92"/>
  <c r="F92"/>
  <c r="V90" i="16"/>
  <c r="M9" s="1"/>
  <c r="Z90"/>
  <c r="Y90"/>
  <c r="L9" s="1"/>
  <c r="X90"/>
  <c r="AC90"/>
  <c r="I9" s="1"/>
  <c r="AA90"/>
  <c r="T90" s="1"/>
  <c r="AB90"/>
  <c r="H9" s="1"/>
  <c r="W90"/>
  <c r="V197"/>
  <c r="M13" s="1"/>
  <c r="Z197"/>
  <c r="Y197"/>
  <c r="L13" s="1"/>
  <c r="X197"/>
  <c r="AC197"/>
  <c r="I13" s="1"/>
  <c r="AB197"/>
  <c r="H13" s="1"/>
  <c r="W197"/>
  <c r="AA197"/>
  <c r="T197" s="1"/>
  <c r="V69"/>
  <c r="M8" s="1"/>
  <c r="Z69"/>
  <c r="X69"/>
  <c r="AC69"/>
  <c r="I8" s="1"/>
  <c r="W69"/>
  <c r="AB69"/>
  <c r="H8" s="1"/>
  <c r="Y69"/>
  <c r="L8" s="1"/>
  <c r="AA69"/>
  <c r="T69" s="1"/>
  <c r="W94" l="1"/>
  <c r="AA94" s="1"/>
  <c r="G9" s="1"/>
  <c r="K9"/>
  <c r="W23"/>
  <c r="AA23" s="1"/>
  <c r="G6" s="1"/>
  <c r="K6"/>
  <c r="J12"/>
  <c r="W173"/>
  <c r="AA173" s="1"/>
  <c r="F12" s="1"/>
  <c r="J11"/>
  <c r="W147"/>
  <c r="AA147" s="1"/>
  <c r="F11" s="1"/>
  <c r="J8"/>
  <c r="W72"/>
  <c r="AA72" s="1"/>
  <c r="F8" s="1"/>
  <c r="J7"/>
  <c r="W46"/>
  <c r="AA46" s="1"/>
  <c r="F7" s="1"/>
  <c r="J9"/>
  <c r="W93"/>
  <c r="AA93" s="1"/>
  <c r="F9" s="1"/>
  <c r="J10"/>
  <c r="W120"/>
  <c r="AA120" s="1"/>
  <c r="F10" s="1"/>
  <c r="G93" i="17"/>
  <c r="K93" s="1"/>
  <c r="I93"/>
  <c r="J93" s="1"/>
  <c r="F93"/>
  <c r="F97" s="1"/>
  <c r="C54" s="1"/>
  <c r="BB29" i="6" s="1"/>
  <c r="J6" i="16"/>
  <c r="W22"/>
  <c r="AA22" s="1"/>
  <c r="F6" s="1"/>
  <c r="K7"/>
  <c r="W47"/>
  <c r="AA47" s="1"/>
  <c r="G7" s="1"/>
  <c r="K12"/>
  <c r="W174"/>
  <c r="AA174" s="1"/>
  <c r="G12" s="1"/>
  <c r="W121"/>
  <c r="AA121" s="1"/>
  <c r="G10" s="1"/>
  <c r="K10"/>
  <c r="F54" i="15"/>
  <c r="I54"/>
  <c r="H54"/>
  <c r="G54"/>
  <c r="W201" i="16"/>
  <c r="AA201" s="1"/>
  <c r="G13" s="1"/>
  <c r="K13"/>
  <c r="AA81" i="15"/>
  <c r="AA82"/>
  <c r="AL82"/>
  <c r="X30" i="19"/>
  <c r="AO29"/>
  <c r="W73" i="16"/>
  <c r="AA73" s="1"/>
  <c r="G8" s="1"/>
  <c r="K8"/>
  <c r="J13"/>
  <c r="W200"/>
  <c r="AA200" s="1"/>
  <c r="F13" s="1"/>
  <c r="K11"/>
  <c r="W148"/>
  <c r="AA148" s="1"/>
  <c r="G11" s="1"/>
  <c r="K92" i="17"/>
  <c r="AP60" i="15" l="1"/>
  <c r="H55"/>
  <c r="AO60"/>
  <c r="AA45"/>
  <c r="AR60"/>
  <c r="M2"/>
  <c r="I55"/>
  <c r="I81"/>
  <c r="B2"/>
  <c r="L7"/>
  <c r="AB100"/>
  <c r="I56"/>
  <c r="L21" i="18"/>
  <c r="L22" s="1"/>
  <c r="AO59" i="15"/>
  <c r="C2"/>
  <c r="AA7"/>
  <c r="K36" i="19"/>
  <c r="AH36" s="1"/>
  <c r="AI82" i="15"/>
  <c r="AH82"/>
  <c r="AV7" i="1"/>
  <c r="AW7" s="1"/>
  <c r="AX7" s="1"/>
  <c r="AX13" s="1"/>
  <c r="AX16" s="1"/>
  <c r="U36" i="4" s="1"/>
  <c r="V33" i="18"/>
  <c r="Y32" s="1"/>
  <c r="Z32" s="1"/>
  <c r="Z41" s="1"/>
  <c r="J2" i="15"/>
  <c r="G55"/>
  <c r="BB30" i="6"/>
  <c r="BF30" s="1"/>
  <c r="G22" s="1"/>
  <c r="H47" i="27" s="1"/>
  <c r="BG30" i="6"/>
  <c r="J22" s="1"/>
  <c r="X31" i="19"/>
  <c r="AO30"/>
  <c r="K9" i="15"/>
  <c r="F55"/>
  <c r="AB55" i="18" l="1"/>
  <c r="AA55"/>
  <c r="B3" i="15"/>
  <c r="AP79"/>
  <c r="AP78"/>
  <c r="X32" i="19"/>
  <c r="AO31"/>
  <c r="AZ63" i="15"/>
  <c r="AZ64"/>
  <c r="AZ65"/>
  <c r="AZ67"/>
  <c r="AZ47"/>
  <c r="BB53"/>
  <c r="AZ68"/>
  <c r="BB70"/>
  <c r="AZ46"/>
  <c r="AZ48"/>
  <c r="AZ51"/>
  <c r="AZ49"/>
  <c r="AZ50"/>
  <c r="AZ66"/>
  <c r="L8"/>
  <c r="L9" s="1"/>
  <c r="M9" s="1"/>
  <c r="M7"/>
  <c r="O2"/>
  <c r="P2" s="1"/>
  <c r="AQ60"/>
  <c r="AA77"/>
  <c r="N47" i="27"/>
  <c r="J26" i="6"/>
  <c r="AR78" i="15"/>
  <c r="AR79"/>
  <c r="AO78"/>
  <c r="AO79"/>
  <c r="BB72" s="1"/>
  <c r="AA75"/>
  <c r="AL76"/>
  <c r="AD87" s="1"/>
  <c r="AG87" s="1"/>
  <c r="AA76"/>
  <c r="AZ53" l="1"/>
  <c r="AZ70"/>
  <c r="AL78"/>
  <c r="AA78"/>
  <c r="M55"/>
  <c r="K55"/>
  <c r="L55"/>
  <c r="J21" i="18"/>
  <c r="J36" i="19"/>
  <c r="AX32" i="6"/>
  <c r="BA32" s="1"/>
  <c r="N51" i="27"/>
  <c r="X33" i="19"/>
  <c r="AO32"/>
  <c r="AU40" i="15"/>
  <c r="AT40" s="1"/>
  <c r="AH76"/>
  <c r="AU33"/>
  <c r="AT33" s="1"/>
  <c r="AU34"/>
  <c r="AT34" s="1"/>
  <c r="AU41"/>
  <c r="AT41" s="1"/>
  <c r="AU36"/>
  <c r="AT36" s="1"/>
  <c r="AU39"/>
  <c r="AT39" s="1"/>
  <c r="AI76"/>
  <c r="AU35"/>
  <c r="AT35" s="1"/>
  <c r="AU42"/>
  <c r="AT42" s="1"/>
  <c r="AU37"/>
  <c r="AT37" s="1"/>
  <c r="AU38"/>
  <c r="AT38" s="1"/>
  <c r="AX63"/>
  <c r="AX64"/>
  <c r="AX65"/>
  <c r="AX67"/>
  <c r="AX66"/>
  <c r="AX68"/>
  <c r="AQ79"/>
  <c r="AQ78"/>
  <c r="AG101"/>
  <c r="K70" i="1" s="1"/>
  <c r="AG93" i="15"/>
  <c r="BB74"/>
  <c r="M35" i="4" l="1"/>
  <c r="M28"/>
  <c r="J22" i="18"/>
  <c r="P21"/>
  <c r="AH78" i="15"/>
  <c r="AI78"/>
  <c r="AO91"/>
  <c r="AR91"/>
  <c r="AP91"/>
  <c r="G36" i="21"/>
  <c r="AX46" i="15"/>
  <c r="AX48"/>
  <c r="AX51"/>
  <c r="AX49"/>
  <c r="AX50"/>
  <c r="AX47"/>
  <c r="BB55"/>
  <c r="BB57" s="1"/>
  <c r="AQ91" s="1"/>
  <c r="AR33"/>
  <c r="AQ33"/>
  <c r="AS33"/>
  <c r="X34" i="19"/>
  <c r="AO33"/>
  <c r="AF36"/>
  <c r="M36"/>
  <c r="L56" i="15"/>
  <c r="K56"/>
  <c r="M56"/>
  <c r="BF32" i="6"/>
  <c r="G28" s="1"/>
  <c r="H53" i="27" s="1"/>
  <c r="BH32" i="6"/>
  <c r="J28" s="1"/>
  <c r="AR97" i="15" l="1"/>
  <c r="AW94"/>
  <c r="J32" i="6"/>
  <c r="N59" i="27" s="1"/>
  <c r="N53"/>
  <c r="N55" s="1"/>
  <c r="J31" i="6"/>
  <c r="X35" i="19"/>
  <c r="X36" s="1"/>
  <c r="AO34"/>
  <c r="E6" i="20" s="1"/>
  <c r="AV94" i="15"/>
  <c r="AQ97"/>
  <c r="AU94"/>
  <c r="AP97"/>
  <c r="G6" i="19"/>
  <c r="G7"/>
  <c r="AL36"/>
  <c r="N36"/>
  <c r="P36" s="1"/>
  <c r="G8"/>
  <c r="G9"/>
  <c r="G5"/>
  <c r="G4"/>
  <c r="AS34" i="15"/>
  <c r="AP34" s="1"/>
  <c r="AO34" s="1"/>
  <c r="AP33"/>
  <c r="AO33" s="1"/>
  <c r="AR34"/>
  <c r="AR35" s="1"/>
  <c r="J36" i="21"/>
  <c r="R36"/>
  <c r="S22" i="18"/>
  <c r="G43" i="6" s="1"/>
  <c r="AQ34" i="15"/>
  <c r="AQ35" s="1"/>
  <c r="AO97"/>
  <c r="AT94"/>
  <c r="H25" i="18"/>
  <c r="P22"/>
  <c r="AO36" i="19" l="1"/>
  <c r="E5" i="20" s="1"/>
  <c r="AR36" i="15"/>
  <c r="Z8" i="19"/>
  <c r="M8"/>
  <c r="Z6"/>
  <c r="M6"/>
  <c r="AV103" i="15"/>
  <c r="AV106" s="1"/>
  <c r="AQ99"/>
  <c r="BA96" s="1"/>
  <c r="BA99" s="1"/>
  <c r="BA90"/>
  <c r="O45" i="6"/>
  <c r="O46" s="1"/>
  <c r="Q46" s="1"/>
  <c r="G32" s="1"/>
  <c r="H59" i="27" s="1"/>
  <c r="N58"/>
  <c r="N60" s="1"/>
  <c r="J34" i="6"/>
  <c r="O42"/>
  <c r="O43" s="1"/>
  <c r="Q43" s="1"/>
  <c r="G31" s="1"/>
  <c r="H58" i="27" s="1"/>
  <c r="BB90" i="15"/>
  <c r="AW101"/>
  <c r="AW106" s="1"/>
  <c r="AR99"/>
  <c r="BB96" s="1"/>
  <c r="BB99" s="1"/>
  <c r="AV107"/>
  <c r="AS119" s="1"/>
  <c r="AS36"/>
  <c r="AP36" s="1"/>
  <c r="AO36" s="1"/>
  <c r="AS35"/>
  <c r="AJ63" i="4"/>
  <c r="BH63"/>
  <c r="CF63"/>
  <c r="AP90"/>
  <c r="BN90"/>
  <c r="CL90"/>
  <c r="AJ33"/>
  <c r="BH33"/>
  <c r="CF33"/>
  <c r="BB63"/>
  <c r="BZ63"/>
  <c r="AJ90"/>
  <c r="BH90"/>
  <c r="CF90"/>
  <c r="S33"/>
  <c r="AV33"/>
  <c r="BT33"/>
  <c r="AP63"/>
  <c r="BN63"/>
  <c r="CL63"/>
  <c r="AV90"/>
  <c r="BT90"/>
  <c r="BZ90"/>
  <c r="BB90"/>
  <c r="BB33"/>
  <c r="AV63"/>
  <c r="BZ33"/>
  <c r="BT63"/>
  <c r="BN33"/>
  <c r="AP33"/>
  <c r="CL33"/>
  <c r="H26" i="18"/>
  <c r="J25"/>
  <c r="AW107" i="15"/>
  <c r="AS118" s="1"/>
  <c r="AW84"/>
  <c r="AQ36"/>
  <c r="AY90"/>
  <c r="AY98" s="1"/>
  <c r="AW116" s="1"/>
  <c r="AO99"/>
  <c r="AY96" s="1"/>
  <c r="AY99" s="1"/>
  <c r="AT101"/>
  <c r="AT106" s="1"/>
  <c r="X36" i="21"/>
  <c r="Z36" s="1"/>
  <c r="D5" i="22" s="1"/>
  <c r="L36" i="21"/>
  <c r="AJ36" s="1"/>
  <c r="AF36"/>
  <c r="G1" i="19"/>
  <c r="Z4"/>
  <c r="M4"/>
  <c r="Z9"/>
  <c r="M9"/>
  <c r="Z7"/>
  <c r="M7"/>
  <c r="Z5"/>
  <c r="M5"/>
  <c r="AP99" i="15"/>
  <c r="AZ96" s="1"/>
  <c r="AZ99" s="1"/>
  <c r="AZ102" s="1"/>
  <c r="AU103"/>
  <c r="AU106" s="1"/>
  <c r="AZ90"/>
  <c r="AQ38" l="1"/>
  <c r="AZ98"/>
  <c r="AW117" s="1"/>
  <c r="G39" i="6" s="1"/>
  <c r="AQ37" i="15"/>
  <c r="AL4" i="19"/>
  <c r="N4"/>
  <c r="P4" s="1"/>
  <c r="AI45" i="4" s="1"/>
  <c r="AP35" i="15"/>
  <c r="AO35" s="1"/>
  <c r="AS37"/>
  <c r="AP37" s="1"/>
  <c r="AO37" s="1"/>
  <c r="BA98"/>
  <c r="AW119" s="1"/>
  <c r="AL9" i="19"/>
  <c r="AO9" s="1"/>
  <c r="E13" i="20" s="1"/>
  <c r="N9" i="19"/>
  <c r="P9" s="1"/>
  <c r="BM45" i="4" s="1"/>
  <c r="J26" i="18"/>
  <c r="S26" s="1"/>
  <c r="G44" i="6" s="1"/>
  <c r="F29" i="18"/>
  <c r="AL6" i="19"/>
  <c r="AO6" s="1"/>
  <c r="E10" i="20" s="1"/>
  <c r="N6" i="19"/>
  <c r="P6" s="1"/>
  <c r="AU45" i="4" s="1"/>
  <c r="AT107" i="15"/>
  <c r="AS116" s="1"/>
  <c r="BB98"/>
  <c r="AW118" s="1"/>
  <c r="AR37"/>
  <c r="AL7" i="19"/>
  <c r="AO7" s="1"/>
  <c r="E11" i="20" s="1"/>
  <c r="N7" i="19"/>
  <c r="P7" s="1"/>
  <c r="BA45" i="4" s="1"/>
  <c r="E9" i="15"/>
  <c r="K8"/>
  <c r="AL8" i="19"/>
  <c r="AO8" s="1"/>
  <c r="E12" i="20" s="1"/>
  <c r="N8" i="19"/>
  <c r="P8" s="1"/>
  <c r="BG45" i="4" s="1"/>
  <c r="AL5" i="19"/>
  <c r="AO5" s="1"/>
  <c r="E9" i="20" s="1"/>
  <c r="N5" i="19"/>
  <c r="P5" s="1"/>
  <c r="AO45" i="4" s="1"/>
  <c r="AS38" i="15"/>
  <c r="AP38" s="1"/>
  <c r="AO38" s="1"/>
  <c r="AL36" i="21"/>
  <c r="AO4" i="19"/>
  <c r="E8" i="20" s="1"/>
  <c r="AU107" i="15"/>
  <c r="AS117" s="1"/>
  <c r="G38" i="6" s="1"/>
  <c r="AQ39" i="15" l="1"/>
  <c r="AQ40" s="1"/>
  <c r="F30" i="18"/>
  <c r="H29"/>
  <c r="AQ41" i="15"/>
  <c r="M8"/>
  <c r="M10" s="1"/>
  <c r="K10"/>
  <c r="AR38"/>
  <c r="AR39" s="1"/>
  <c r="AS39"/>
  <c r="AP39" s="1"/>
  <c r="AO39" s="1"/>
  <c r="AQ42" l="1"/>
  <c r="V63" i="1"/>
  <c r="W65" s="1"/>
  <c r="Y65" s="1"/>
  <c r="L35" i="18"/>
  <c r="N35" s="1"/>
  <c r="H30"/>
  <c r="AR40" i="15"/>
  <c r="AR41" s="1"/>
  <c r="AS40"/>
  <c r="M59"/>
  <c r="L59"/>
  <c r="K59"/>
  <c r="AR42"/>
  <c r="L30" i="18" l="1"/>
  <c r="H15"/>
  <c r="C15" s="1"/>
  <c r="E32"/>
  <c r="S30"/>
  <c r="G45" i="6" s="1"/>
  <c r="AP40" i="15"/>
  <c r="AO40" s="1"/>
  <c r="L60"/>
  <c r="G56" s="1"/>
  <c r="K60"/>
  <c r="F56" s="1"/>
  <c r="M60"/>
  <c r="H56" s="1"/>
  <c r="AA79" s="1"/>
  <c r="AS41"/>
  <c r="AP41" s="1"/>
  <c r="AO41" s="1"/>
  <c r="AS42" l="1"/>
  <c r="AP42" s="1"/>
  <c r="AO42" s="1"/>
  <c r="AO44" s="1"/>
  <c r="AO45" s="1"/>
  <c r="AL80"/>
  <c r="AD89" s="1"/>
  <c r="AG89" s="1"/>
  <c r="AA80"/>
  <c r="AG94" l="1"/>
  <c r="AG102"/>
  <c r="K71" i="1" s="1"/>
  <c r="AH80" i="15"/>
  <c r="AH84" s="1"/>
  <c r="AO7" s="1"/>
  <c r="AI80"/>
  <c r="M36" i="4" l="1"/>
  <c r="M29"/>
  <c r="AJ80" i="15"/>
  <c r="AJ82"/>
  <c r="AJ76"/>
  <c r="AJ84" s="1"/>
  <c r="AJ78"/>
  <c r="AP27" l="1"/>
  <c r="AO24"/>
  <c r="AO27" s="1"/>
  <c r="D30" s="1"/>
  <c r="AO26"/>
  <c r="D33" l="1"/>
  <c r="D31"/>
  <c r="D32"/>
  <c r="D2" l="1"/>
  <c r="C3" s="1"/>
  <c r="M3"/>
  <c r="P3" s="1"/>
  <c r="AD100"/>
  <c r="AG100" s="1"/>
  <c r="K69" i="1" s="1"/>
  <c r="M27" i="4" l="1"/>
  <c r="M34"/>
</calcChain>
</file>

<file path=xl/sharedStrings.xml><?xml version="1.0" encoding="utf-8"?>
<sst xmlns="http://schemas.openxmlformats.org/spreadsheetml/2006/main" count="5464" uniqueCount="943">
  <si>
    <t>METER</t>
  </si>
  <si>
    <t>(</t>
  </si>
  <si>
    <t>MAIN BREAKER</t>
  </si>
  <si>
    <t>YES</t>
  </si>
  <si>
    <t>ERROR</t>
  </si>
  <si>
    <t>/</t>
  </si>
  <si>
    <t>\</t>
  </si>
  <si>
    <t xml:space="preserve"> DWELLING</t>
  </si>
  <si>
    <t xml:space="preserve"> UNIT</t>
  </si>
  <si>
    <t xml:space="preserve"> PANEL</t>
  </si>
  <si>
    <t>UNIT 20</t>
  </si>
  <si>
    <t>UNIT 19</t>
  </si>
  <si>
    <t>UNIT 18</t>
  </si>
  <si>
    <t>UNIT 17</t>
  </si>
  <si>
    <t>UNIT 16</t>
  </si>
  <si>
    <t>UNIT 15</t>
  </si>
  <si>
    <t>UNIT 14</t>
  </si>
  <si>
    <t>UNIT 13</t>
  </si>
  <si>
    <t>UNIT 12</t>
  </si>
  <si>
    <t>UNIT 11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</si>
  <si>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</si>
  <si>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</si>
  <si>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</si>
  <si>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</si>
  <si>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</si>
  <si>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</si>
  <si>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</si>
  <si>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</si>
  <si>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</si>
  <si>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</si>
  <si>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X</t>
  </si>
  <si>
    <t>HOUSE PANEL</t>
  </si>
  <si>
    <t>CIRCUITS</t>
  </si>
  <si>
    <t>SYSTEM GROUND</t>
  </si>
  <si>
    <t>OVER/UNDER</t>
  </si>
  <si>
    <t>PROJECT NAME</t>
  </si>
  <si>
    <t>ADDRESS</t>
  </si>
  <si>
    <t>CITY/STATE/ZIP</t>
  </si>
  <si>
    <t>SAMPLE PROJECT</t>
  </si>
  <si>
    <t>123 MAIN ST</t>
  </si>
  <si>
    <t>SOMEWHERE, CA 95620</t>
  </si>
  <si>
    <t>PHASE</t>
  </si>
  <si>
    <t>HIGH VOLTAGE</t>
  </si>
  <si>
    <t>LOW VOLTAGE</t>
  </si>
  <si>
    <t>Project Name &amp; Address</t>
  </si>
  <si>
    <t>Phase &amp; Voltage</t>
  </si>
  <si>
    <t>MINIMUM SERVICE SIZE</t>
  </si>
  <si>
    <t>HOUSE SUB</t>
  </si>
  <si>
    <t>HOUSE PANEL UPDATE</t>
  </si>
  <si>
    <t>AFC</t>
  </si>
  <si>
    <t>FAULT CURRENT CALCS</t>
  </si>
  <si>
    <t>YES/NO</t>
  </si>
  <si>
    <t xml:space="preserve"> K</t>
  </si>
  <si>
    <t xml:space="preserve"> </t>
  </si>
  <si>
    <t>FAULT CALCS</t>
  </si>
  <si>
    <t>VD</t>
  </si>
  <si>
    <t>VOLTAGE DROP CALCS</t>
  </si>
  <si>
    <t>MAIN TO HOUSE ERROR</t>
  </si>
  <si>
    <t>Number of Dwelling Units</t>
  </si>
  <si>
    <t>Dwelling Unit Lables</t>
  </si>
  <si>
    <t># OFUNITS</t>
  </si>
  <si>
    <t>HIGH</t>
  </si>
  <si>
    <t>VOLTS</t>
  </si>
  <si>
    <t>OUT TO</t>
  </si>
  <si>
    <t>DWELLING</t>
  </si>
  <si>
    <t>PANELS</t>
  </si>
  <si>
    <t>LOW</t>
  </si>
  <si>
    <t>IN FROM</t>
  </si>
  <si>
    <t># OF PANELS</t>
  </si>
  <si>
    <t>UPDATE</t>
  </si>
  <si>
    <t>CHECK</t>
  </si>
  <si>
    <t>PANEL</t>
  </si>
  <si>
    <t>NAME</t>
  </si>
  <si>
    <t>DP</t>
  </si>
  <si>
    <t>DP1</t>
  </si>
  <si>
    <t>DP2</t>
  </si>
  <si>
    <t>DP3</t>
  </si>
  <si>
    <t>DP4</t>
  </si>
  <si>
    <t>DP5</t>
  </si>
  <si>
    <t>DP6</t>
  </si>
  <si>
    <t>DP7</t>
  </si>
  <si>
    <t>DP8</t>
  </si>
  <si>
    <t>DP9</t>
  </si>
  <si>
    <t>DP10</t>
  </si>
  <si>
    <t>DP11</t>
  </si>
  <si>
    <t>DP12</t>
  </si>
  <si>
    <t>DP13</t>
  </si>
  <si>
    <t>DP14</t>
  </si>
  <si>
    <t>DP15</t>
  </si>
  <si>
    <t>DP16</t>
  </si>
  <si>
    <t>DP17</t>
  </si>
  <si>
    <t>DP18</t>
  </si>
  <si>
    <t>DP19</t>
  </si>
  <si>
    <t>DP20</t>
  </si>
  <si>
    <t>DP21</t>
  </si>
  <si>
    <t>DP22</t>
  </si>
  <si>
    <t>DP23</t>
  </si>
  <si>
    <t>DP24</t>
  </si>
  <si>
    <t>DP25</t>
  </si>
  <si>
    <t>DP26</t>
  </si>
  <si>
    <t>DP27</t>
  </si>
  <si>
    <t>DP28</t>
  </si>
  <si>
    <t>DP29</t>
  </si>
  <si>
    <t>DP30</t>
  </si>
  <si>
    <t>IN USE</t>
  </si>
  <si>
    <t>=IF($B$</t>
  </si>
  <si>
    <t>=0," ",'C:\RES\[DP</t>
  </si>
  <si>
    <t>BREAKER</t>
  </si>
  <si>
    <t>SIZE</t>
  </si>
  <si>
    <t>FAULT</t>
  </si>
  <si>
    <t>CURRENT</t>
  </si>
  <si>
    <t>LENGTH</t>
  </si>
  <si>
    <t>CONDUIT</t>
  </si>
  <si>
    <t>CABLE</t>
  </si>
  <si>
    <t>WIRE 1</t>
  </si>
  <si>
    <t>WIRE 2</t>
  </si>
  <si>
    <t>WIRE 3</t>
  </si>
  <si>
    <t>WIRE 4</t>
  </si>
  <si>
    <t/>
  </si>
  <si>
    <t>SQUARE</t>
  </si>
  <si>
    <t>FOOTAGE</t>
  </si>
  <si>
    <t>APPLIANCE</t>
  </si>
  <si>
    <t>LAUNDRY</t>
  </si>
  <si>
    <t>NUMBER</t>
  </si>
  <si>
    <t>RANGE</t>
  </si>
  <si>
    <t xml:space="preserve">NUMBER </t>
  </si>
  <si>
    <t>DRYER</t>
  </si>
  <si>
    <t>WATER</t>
  </si>
  <si>
    <t>OF</t>
  </si>
  <si>
    <t>KVA</t>
  </si>
  <si>
    <t>HEATER</t>
  </si>
  <si>
    <t>RANGES</t>
  </si>
  <si>
    <t>DRYERS</t>
  </si>
  <si>
    <t>HEAT</t>
  </si>
  <si>
    <t>MISC</t>
  </si>
  <si>
    <t>LOADS</t>
  </si>
  <si>
    <t>MISC LOADS</t>
  </si>
  <si>
    <t xml:space="preserve"> X </t>
  </si>
  <si>
    <t xml:space="preserve"> SQ FT X 3 VA = </t>
  </si>
  <si>
    <t xml:space="preserve"> X 1,500 VA = </t>
  </si>
  <si>
    <t>TOTAL CONNECTED NEUTRAL LOAD</t>
  </si>
  <si>
    <t xml:space="preserve"> VA = </t>
  </si>
  <si>
    <t>WATER HEATER LOAD</t>
  </si>
  <si>
    <t>SUBTOTAL</t>
  </si>
  <si>
    <t>UNBALANCED 120 VOLT MISC. LOADS AT 100%</t>
  </si>
  <si>
    <t>NEUTRAL LOAD VA</t>
  </si>
  <si>
    <t>MINIMUM NEUTRAL CONDUCTOR AMPACITY</t>
  </si>
  <si>
    <t xml:space="preserve">1,200 SQ FT X 3 VA = </t>
  </si>
  <si>
    <t>1,200</t>
  </si>
  <si>
    <t xml:space="preserve">2 X 1,500 VA = </t>
  </si>
  <si>
    <t xml:space="preserve">1 X 1,500 VA = </t>
  </si>
  <si>
    <t xml:space="preserve">2 X 12,000 VA = </t>
  </si>
  <si>
    <t>12,000</t>
  </si>
  <si>
    <t xml:space="preserve">1 X 5,000 VA = </t>
  </si>
  <si>
    <t>5,000</t>
  </si>
  <si>
    <t xml:space="preserve">1 X 4,500 VA = </t>
  </si>
  <si>
    <t>4,500</t>
  </si>
  <si>
    <t>VOLTAGE DROP</t>
  </si>
  <si>
    <t xml:space="preserve"> UNITS TOTAL KVA = </t>
  </si>
  <si>
    <t>MULTIFAMILY SERVICE LOAD CALCULATIONS</t>
  </si>
  <si>
    <t xml:space="preserve"> VA ÷ </t>
  </si>
  <si>
    <t xml:space="preserve"> V </t>
  </si>
  <si>
    <t>NUMBER OF UNITS</t>
  </si>
  <si>
    <t>SERVICE SIZE</t>
  </si>
  <si>
    <t xml:space="preserve"> A X </t>
  </si>
  <si>
    <t xml:space="preserve"> = </t>
  </si>
  <si>
    <t>MAX</t>
  </si>
  <si>
    <t>AMPS</t>
  </si>
  <si>
    <t>HOUSE</t>
  </si>
  <si>
    <t>TABLE 220.55</t>
  </si>
  <si>
    <t xml:space="preserve"> VA</t>
  </si>
  <si>
    <t>%</t>
  </si>
  <si>
    <t xml:space="preserve">EQUIVALENT 3-PHASE LOAD ( </t>
  </si>
  <si>
    <t xml:space="preserve"> VA X 0.35 ) = </t>
  </si>
  <si>
    <t xml:space="preserve"> VA X 0.25 ) = </t>
  </si>
  <si>
    <t>APP COUNT</t>
  </si>
  <si>
    <t>APP KVA</t>
  </si>
  <si>
    <t>NO</t>
  </si>
  <si>
    <t xml:space="preserve"> )</t>
  </si>
  <si>
    <t xml:space="preserve">PER PHASE DEMAND ( </t>
  </si>
  <si>
    <t xml:space="preserve">( </t>
  </si>
  <si>
    <t>TOTAL CONNECTED LOAD</t>
  </si>
  <si>
    <t xml:space="preserve">RANGES </t>
  </si>
  <si>
    <t xml:space="preserve">DRYERS </t>
  </si>
  <si>
    <t>PER PHASE DEMAND (  23,000 ÷ 2 ) = 11,500 VA</t>
  </si>
  <si>
    <t xml:space="preserve"> VA ÷ 2 ) = </t>
  </si>
  <si>
    <t xml:space="preserve">EQUIVALENT 3-PHASE LOAD ( 11,500 X 3 ) = </t>
  </si>
  <si>
    <t xml:space="preserve"> VA X 3 ) = </t>
  </si>
  <si>
    <t xml:space="preserve">TOTAL SQ FOOTAGE ( </t>
  </si>
  <si>
    <t xml:space="preserve"> SQ FT X 3 VA ) = </t>
  </si>
  <si>
    <t xml:space="preserve">APPLIANCE CIRCUITS ( </t>
  </si>
  <si>
    <t xml:space="preserve"> X 1,500 VA ) = </t>
  </si>
  <si>
    <t xml:space="preserve">LAUNDRY CIRCUITS ( </t>
  </si>
  <si>
    <t xml:space="preserve">CONNECTED AMPS </t>
  </si>
  <si>
    <t xml:space="preserve"> A</t>
  </si>
  <si>
    <t>ADJUSTED AMPS (</t>
  </si>
  <si>
    <t xml:space="preserve"> ) =</t>
  </si>
  <si>
    <t>UNITS</t>
  </si>
  <si>
    <t>NEC 220.84(A)(2) EXCEPTION</t>
  </si>
  <si>
    <t>TOTAL</t>
  </si>
  <si>
    <t>KA</t>
  </si>
  <si>
    <t xml:space="preserve">FIRST 3,000VA (100%) ( </t>
  </si>
  <si>
    <t xml:space="preserve"> VA X 1.00 ) = </t>
  </si>
  <si>
    <t xml:space="preserve">FIRST 3,000 VA @ 100% ( </t>
  </si>
  <si>
    <t xml:space="preserve">3,000-120,000 VA @ 35% ( </t>
  </si>
  <si>
    <t xml:space="preserve">OVER 120,000 VA @ 25% ( 0 VA X 0.25 ) = </t>
  </si>
  <si>
    <t xml:space="preserve">OVER 120,000 VA @ 25% ( </t>
  </si>
  <si>
    <t>TABLE 220.55, FROM 2005 N.E.C.</t>
  </si>
  <si>
    <t>COLUMN C</t>
  </si>
  <si>
    <t>COLUMN A</t>
  </si>
  <si>
    <t>COLUMN B</t>
  </si>
  <si>
    <t>NOT OVER 12</t>
  </si>
  <si>
    <t>LESS THAN 3.5</t>
  </si>
  <si>
    <t>3.5 to 8.75</t>
  </si>
  <si>
    <t>APPLIANCES</t>
  </si>
  <si>
    <t>KW RATING</t>
  </si>
  <si>
    <t>NUMBER OF RANGES</t>
  </si>
  <si>
    <t>MAXIMUM DEMAND</t>
  </si>
  <si>
    <t>FROM COLUMN A</t>
  </si>
  <si>
    <t>TABLE 220-19</t>
  </si>
  <si>
    <t>PERCENTAGE DEMAND</t>
  </si>
  <si>
    <t>FROM COLUMN B</t>
  </si>
  <si>
    <t>FROM COLUMN C</t>
  </si>
  <si>
    <t>26-30</t>
  </si>
  <si>
    <t xml:space="preserve">15 KW + 1KW </t>
  </si>
  <si>
    <t>31-40</t>
  </si>
  <si>
    <t>FOR EACH RANGE</t>
  </si>
  <si>
    <t>41-50</t>
  </si>
  <si>
    <t>25 KW + .75 KW</t>
  </si>
  <si>
    <t>51-60</t>
  </si>
  <si>
    <t>FOR EACH</t>
  </si>
  <si>
    <t>61 &amp; OVER</t>
  </si>
  <si>
    <t xml:space="preserve">  TABLE 220.54, FROM 2005 N.E.C.</t>
  </si>
  <si>
    <t>DEMAND</t>
  </si>
  <si>
    <t>FACTOR</t>
  </si>
  <si>
    <t>PERCENT</t>
  </si>
  <si>
    <t>NUMBER OF DRYERS</t>
  </si>
  <si>
    <t>DEMAND FACTOR</t>
  </si>
  <si>
    <t>43 &amp; OVER</t>
  </si>
  <si>
    <t>RANGE ADD</t>
  </si>
  <si>
    <t>5% PER KVA</t>
  </si>
  <si>
    <t>OVER 12</t>
  </si>
  <si>
    <t>RANGE RATING</t>
  </si>
  <si>
    <t>UNBALANCED LOAD</t>
  </si>
  <si>
    <t>LOAD</t>
  </si>
  <si>
    <t xml:space="preserve"> VA </t>
  </si>
  <si>
    <t xml:space="preserve">NEUTRAL LOAD ( </t>
  </si>
  <si>
    <t xml:space="preserve"> V ) = </t>
  </si>
  <si>
    <t>FIRST 200 A @ 100% (</t>
  </si>
  <si>
    <t xml:space="preserve"> A X 1.00 ) =</t>
  </si>
  <si>
    <t xml:space="preserve">REMAINDER @ 70% ( </t>
  </si>
  <si>
    <t xml:space="preserve"> A X 0.70 ) =</t>
  </si>
  <si>
    <t>3Y</t>
  </si>
  <si>
    <t># OF CONDUITS</t>
  </si>
  <si>
    <t xml:space="preserve"> (</t>
  </si>
  <si>
    <t>-</t>
  </si>
  <si>
    <t xml:space="preserve"> - </t>
  </si>
  <si>
    <t>INPUT</t>
  </si>
  <si>
    <t>OVER CURRENT MODULE</t>
  </si>
  <si>
    <t>1. GENERAL</t>
  </si>
  <si>
    <t>CONDUIT SIZING MODULE</t>
  </si>
  <si>
    <t>WIRE SIZE MODULE (4" MAX CONDUIT)</t>
  </si>
  <si>
    <t>2. RIGID</t>
  </si>
  <si>
    <t>HI</t>
  </si>
  <si>
    <t>NEUTRAL</t>
  </si>
  <si>
    <t>CU/AL?</t>
  </si>
  <si>
    <t>WIRES</t>
  </si>
  <si>
    <t>FUSE SIZING AMPS</t>
  </si>
  <si>
    <t>3. EMT</t>
  </si>
  <si>
    <t>CONDUIT TYPE</t>
  </si>
  <si>
    <t>LEG</t>
  </si>
  <si>
    <t>WIRE TEMP</t>
  </si>
  <si>
    <t>L2 AMPS</t>
  </si>
  <si>
    <t># OF PHASE WIRES</t>
  </si>
  <si>
    <t>4. IMC</t>
  </si>
  <si>
    <t>WIRE AREA SQ IN</t>
  </si>
  <si>
    <t>DESIGN AMPS</t>
  </si>
  <si>
    <t>DESIGN AMPS (NDA)</t>
  </si>
  <si>
    <t>NEUTRAL AMPS</t>
  </si>
  <si>
    <t>5. PVC-40</t>
  </si>
  <si>
    <t>PERCENT FILL</t>
  </si>
  <si>
    <t>MIN AMPS</t>
  </si>
  <si>
    <t>LOOKUP AMPS</t>
  </si>
  <si>
    <t>33% OF PHASE</t>
  </si>
  <si>
    <t>6. RIGID/PVC</t>
  </si>
  <si>
    <t>NET Y/N</t>
  </si>
  <si>
    <t>Y</t>
  </si>
  <si>
    <t>LOOKUP</t>
  </si>
  <si>
    <t>FUSE/BKR</t>
  </si>
  <si>
    <t>7. FLEX</t>
  </si>
  <si>
    <t>CONNECTED LOAD</t>
  </si>
  <si>
    <t>HAR Y/N</t>
  </si>
  <si>
    <t>N</t>
  </si>
  <si>
    <t>GROUND</t>
  </si>
  <si>
    <t>AMP</t>
  </si>
  <si>
    <t>8. LT-FLEX</t>
  </si>
  <si>
    <t>TABLE</t>
  </si>
  <si>
    <t>FILL</t>
  </si>
  <si>
    <t>GENERAL</t>
  </si>
  <si>
    <t>RIGID</t>
  </si>
  <si>
    <t>EMT</t>
  </si>
  <si>
    <t>IMC</t>
  </si>
  <si>
    <t>PVC-40</t>
  </si>
  <si>
    <t>RIGID/PVC</t>
  </si>
  <si>
    <t>FLEX</t>
  </si>
  <si>
    <t>LT-FLEX</t>
  </si>
  <si>
    <t>50% CONNECTED</t>
  </si>
  <si>
    <t>RATING</t>
  </si>
  <si>
    <t>OUTPUT</t>
  </si>
  <si>
    <t>AREA</t>
  </si>
  <si>
    <t>HARMONIC LOAD</t>
  </si>
  <si>
    <t>SQ IN</t>
  </si>
  <si>
    <t>ADJUST</t>
  </si>
  <si>
    <t>SELECTED</t>
  </si>
  <si>
    <t>WIRE</t>
  </si>
  <si>
    <t>60º C</t>
  </si>
  <si>
    <t>75 C</t>
  </si>
  <si>
    <t>90º C</t>
  </si>
  <si>
    <t>AMPACITY TABLE</t>
  </si>
  <si>
    <t>PER</t>
  </si>
  <si>
    <t>AWG</t>
  </si>
  <si>
    <t>CODE</t>
  </si>
  <si>
    <t>#6</t>
  </si>
  <si>
    <t>CU</t>
  </si>
  <si>
    <t>AL</t>
  </si>
  <si>
    <t>#4</t>
  </si>
  <si>
    <t>#2</t>
  </si>
  <si>
    <t>#3</t>
  </si>
  <si>
    <t>#1</t>
  </si>
  <si>
    <t>#1/0</t>
  </si>
  <si>
    <t>#2/0</t>
  </si>
  <si>
    <t>CONDUIT SIZE</t>
  </si>
  <si>
    <t>DIFFERENT SIZE WIRES</t>
  </si>
  <si>
    <t>#3/0</t>
  </si>
  <si>
    <t>#4/0</t>
  </si>
  <si>
    <t>SAME SIZE WIRES</t>
  </si>
  <si>
    <t>#250</t>
  </si>
  <si>
    <t>#300</t>
  </si>
  <si>
    <t># OF WIRES</t>
  </si>
  <si>
    <t>#350</t>
  </si>
  <si>
    <t>#400</t>
  </si>
  <si>
    <t>#500</t>
  </si>
  <si>
    <t>2-WIRE</t>
  </si>
  <si>
    <t>3-WIRE</t>
  </si>
  <si>
    <t>4-WIRE</t>
  </si>
  <si>
    <t>UNDER 800A</t>
  </si>
  <si>
    <t>OVER 800A</t>
  </si>
  <si>
    <t>HI LEG FUSE</t>
  </si>
  <si>
    <t>WIRE FILL SIZING MODULE</t>
  </si>
  <si>
    <t>L1</t>
  </si>
  <si>
    <t>L2 RESISTANCE CALCULATION</t>
  </si>
  <si>
    <t>WIRE CODE (NPHC)</t>
  </si>
  <si>
    <t>WIRE TYPE (NWTYP)</t>
  </si>
  <si>
    <t xml:space="preserve"> / </t>
  </si>
  <si>
    <t>CU/AL ?</t>
  </si>
  <si>
    <t>GND WIRE CODE</t>
  </si>
  <si>
    <t>NEUTRAL Y/N</t>
  </si>
  <si>
    <t>#OF WIRE</t>
  </si>
  <si>
    <t>TOTAL WIRES</t>
  </si>
  <si>
    <t>VOLTAGE DROP MODULE</t>
  </si>
  <si>
    <t>PARALLEL CONDUCTORS</t>
  </si>
  <si>
    <t>L1-L3</t>
  </si>
  <si>
    <t>HI LEG</t>
  </si>
  <si>
    <t>ST</t>
  </si>
  <si>
    <t>CA</t>
  </si>
  <si>
    <t>1-PHASE</t>
  </si>
  <si>
    <t>L2</t>
  </si>
  <si>
    <t>THW</t>
  </si>
  <si>
    <t>RHW</t>
  </si>
  <si>
    <t>THHN</t>
  </si>
  <si>
    <t>XHHW</t>
  </si>
  <si>
    <t>THW-CA</t>
  </si>
  <si>
    <t>THHN-CA</t>
  </si>
  <si>
    <t>XHHW-CA</t>
  </si>
  <si>
    <t>SINGLE CONDUCTOR</t>
  </si>
  <si>
    <t>NETURAL</t>
  </si>
  <si>
    <t>ONE WAY DISTANCE</t>
  </si>
  <si>
    <t>TOTAL LOAD</t>
  </si>
  <si>
    <t>CALCULATED RESISTANCE OF CONDUCTOR(S)</t>
  </si>
  <si>
    <t>#10</t>
  </si>
  <si>
    <t>VOLTAGE</t>
  </si>
  <si>
    <t>GROUND SIZE MODULE</t>
  </si>
  <si>
    <t>#8</t>
  </si>
  <si>
    <t>GND Y/N? (NGYN)</t>
  </si>
  <si>
    <t>WIRE CODE</t>
  </si>
  <si>
    <t>MAX AMPS (NMA)</t>
  </si>
  <si>
    <t>RES</t>
  </si>
  <si>
    <t>L1 &amp; L2 RESISTANCE CALCULATION</t>
  </si>
  <si>
    <t>CU/AL? (NCUAL2)</t>
  </si>
  <si>
    <t>NEC</t>
  </si>
  <si>
    <t>GND_TABLE</t>
  </si>
  <si>
    <t>SEL</t>
  </si>
  <si>
    <t>OVER</t>
  </si>
  <si>
    <t>L1-L3 WIRE CODE</t>
  </si>
  <si>
    <t>L1,L3</t>
  </si>
  <si>
    <t>NET</t>
  </si>
  <si>
    <t>L1-L3 SQ IN</t>
  </si>
  <si>
    <t>L2 WIRE CODE</t>
  </si>
  <si>
    <t>L2 SQ IN</t>
  </si>
  <si>
    <t>NET WIRE CODE</t>
  </si>
  <si>
    <t>WIRE RES</t>
  </si>
  <si>
    <t>OVER CURRENT</t>
  </si>
  <si>
    <t>NET SQ IN</t>
  </si>
  <si>
    <t>AMPS PER WIRE</t>
  </si>
  <si>
    <t>GND SQ IN</t>
  </si>
  <si>
    <t>TOTAL AREA OF CONDUCTORS</t>
  </si>
  <si>
    <t xml:space="preserve"> (L2)</t>
  </si>
  <si>
    <t xml:space="preserve"> (N)</t>
  </si>
  <si>
    <t>3D</t>
  </si>
  <si>
    <t>VD %</t>
  </si>
  <si>
    <t>L1 &amp; L3</t>
  </si>
  <si>
    <t>3-PHASE Y</t>
  </si>
  <si>
    <t xml:space="preserve"> GND</t>
  </si>
  <si>
    <t>X L</t>
  </si>
  <si>
    <t>X R</t>
  </si>
  <si>
    <t xml:space="preserve"> ÷ </t>
  </si>
  <si>
    <t xml:space="preserve"> VD ÷ </t>
  </si>
  <si>
    <t>X I</t>
  </si>
  <si>
    <t xml:space="preserve"> L </t>
  </si>
  <si>
    <t xml:space="preserve">' L X </t>
  </si>
  <si>
    <t xml:space="preserve"> V X </t>
  </si>
  <si>
    <t>÷ 1000</t>
  </si>
  <si>
    <t xml:space="preserve"> R </t>
  </si>
  <si>
    <t xml:space="preserve"> R X </t>
  </si>
  <si>
    <t xml:space="preserve"> ) = </t>
  </si>
  <si>
    <t>X 0.866</t>
  </si>
  <si>
    <t xml:space="preserve"> I </t>
  </si>
  <si>
    <t xml:space="preserve"> = VD</t>
  </si>
  <si>
    <t xml:space="preserve"> A ÷ </t>
  </si>
  <si>
    <t xml:space="preserve"> % </t>
  </si>
  <si>
    <t xml:space="preserve"> % VD</t>
  </si>
  <si>
    <t>÷ VOLTS</t>
  </si>
  <si>
    <t xml:space="preserve"> = VD %</t>
  </si>
  <si>
    <t xml:space="preserve"> ) </t>
  </si>
  <si>
    <t>FEEDER CONDUIT</t>
  </si>
  <si>
    <t xml:space="preserve"> VD</t>
  </si>
  <si>
    <t>Single Phase</t>
  </si>
  <si>
    <t>Voltage Drop %</t>
  </si>
  <si>
    <t>Three Phase</t>
  </si>
  <si>
    <t>Voltage Drop L1 &amp; L3</t>
  </si>
  <si>
    <t>Voltage Drop % L1 &amp; L3</t>
  </si>
  <si>
    <t>Voltage Drop L2 ( Hi-Leg )</t>
  </si>
  <si>
    <t>Voltage Drop % L2 ( Hi-Leg )</t>
  </si>
  <si>
    <t>Main Breaker &amp; House Panel</t>
  </si>
  <si>
    <t>Service Entrance Feeder</t>
  </si>
  <si>
    <t>SERVICE FEEDER SIZING</t>
  </si>
  <si>
    <t>AUTO</t>
  </si>
  <si>
    <t>#600</t>
  </si>
  <si>
    <t>#750</t>
  </si>
  <si>
    <t>#1000</t>
  </si>
  <si>
    <t>#700</t>
  </si>
  <si>
    <t>SHORT</t>
  </si>
  <si>
    <t>3-COND W/GND SER CABLE AL</t>
  </si>
  <si>
    <t>C VALUE</t>
  </si>
  <si>
    <t>SER 3C AL</t>
  </si>
  <si>
    <t>ROW</t>
  </si>
  <si>
    <t>SER 3C CU</t>
  </si>
  <si>
    <t>SELECT</t>
  </si>
  <si>
    <t># OF CONDUCTORS</t>
  </si>
  <si>
    <t>SER 4C AL</t>
  </si>
  <si>
    <t>CU OR AL</t>
  </si>
  <si>
    <t>ROMEX 3C CU</t>
  </si>
  <si>
    <t>6-6-6-6</t>
  </si>
  <si>
    <t>FEEDER TYPE</t>
  </si>
  <si>
    <t>MC 3C AL</t>
  </si>
  <si>
    <t>4-4-4-6</t>
  </si>
  <si>
    <t>MC 4C AL</t>
  </si>
  <si>
    <t>2-2-2-4</t>
  </si>
  <si>
    <t>MC 3C CU</t>
  </si>
  <si>
    <t>1-1-1-3</t>
  </si>
  <si>
    <t>MC 4C CU</t>
  </si>
  <si>
    <t>1/0-1/0-1/0-2</t>
  </si>
  <si>
    <t>2/0-2/0-2/0-1</t>
  </si>
  <si>
    <t>3/0-3/0-3/0-1/0</t>
  </si>
  <si>
    <t>4/0-4/0-4/0-2/0</t>
  </si>
  <si>
    <t>EXCEED</t>
  </si>
  <si>
    <t xml:space="preserve"> SER CABLE</t>
  </si>
  <si>
    <t xml:space="preserve"> 3-</t>
  </si>
  <si>
    <t xml:space="preserve"> AL</t>
  </si>
  <si>
    <t xml:space="preserve"> THE DESIGN LOAD OF </t>
  </si>
  <si>
    <t xml:space="preserve"> AMPS EXCEEDS THE</t>
  </si>
  <si>
    <t xml:space="preserve"> 1-</t>
  </si>
  <si>
    <t xml:space="preserve"> MAXIMUM CABLE RATING OF </t>
  </si>
  <si>
    <t xml:space="preserve"> AMPS</t>
  </si>
  <si>
    <t>3-COND W/GND SER CABLE CU</t>
  </si>
  <si>
    <t>3-3-3-5</t>
  </si>
  <si>
    <t>#5</t>
  </si>
  <si>
    <t xml:space="preserve"> CU</t>
  </si>
  <si>
    <t>4-COND W/GND SER CABLE AL</t>
  </si>
  <si>
    <t>WIRE TMEP</t>
  </si>
  <si>
    <t>6-6-6-6-6</t>
  </si>
  <si>
    <t>4-4-4-4-6</t>
  </si>
  <si>
    <t>2-2-2-2-4</t>
  </si>
  <si>
    <t>1-1-1-1-3</t>
  </si>
  <si>
    <t>1/0-1/0-1/0-1/0-2</t>
  </si>
  <si>
    <t>2/0-2/0-2/0-2/0-1</t>
  </si>
  <si>
    <t>3/0-3/0-3/0-3/0-1/0</t>
  </si>
  <si>
    <t>4/0-4/0-4/0-4/0-2/0</t>
  </si>
  <si>
    <t>250-250-250-250-3/0</t>
  </si>
  <si>
    <t>300-300-300-300-4/0</t>
  </si>
  <si>
    <t xml:space="preserve"> 4-</t>
  </si>
  <si>
    <t>3-COND W/GND ROMEX CABLE CU</t>
  </si>
  <si>
    <t>4-4-4-4</t>
  </si>
  <si>
    <t>2-2-2-2</t>
  </si>
  <si>
    <t xml:space="preserve"> ROMEX</t>
  </si>
  <si>
    <t>3-COND W/GND MC CABLE AL</t>
  </si>
  <si>
    <t>1-1-1-4</t>
  </si>
  <si>
    <t>1/0-1/0-1/0-4</t>
  </si>
  <si>
    <t>2/0-2/0-2/0-4</t>
  </si>
  <si>
    <t>3/0-3/0-3/0-4</t>
  </si>
  <si>
    <t>4/0-4/0-4/0-2</t>
  </si>
  <si>
    <t>250-250-250-2</t>
  </si>
  <si>
    <t>350-350-350-1</t>
  </si>
  <si>
    <t xml:space="preserve"> MC CABLE</t>
  </si>
  <si>
    <t>4-COND W/GND MC CABLE AL</t>
  </si>
  <si>
    <t>1-1-1-1-4</t>
  </si>
  <si>
    <t>1/0-1/0-1/0-1/0-4</t>
  </si>
  <si>
    <t>2/0-2/0-2/0-2/0-4</t>
  </si>
  <si>
    <t>3/0-3/0-3/0-3/0-4</t>
  </si>
  <si>
    <t>4/0-4/0-4/0-4/0-2</t>
  </si>
  <si>
    <t>250-250-250-250-1</t>
  </si>
  <si>
    <t>350-350-350-350-1/0</t>
  </si>
  <si>
    <t>3-COND W/GND MC CABLE CU</t>
  </si>
  <si>
    <t>4-4-4-8</t>
  </si>
  <si>
    <t>3-3-3-6</t>
  </si>
  <si>
    <t>2-2-2-6</t>
  </si>
  <si>
    <t>1-1-1-6</t>
  </si>
  <si>
    <t>1/0-1/0-1/0-6</t>
  </si>
  <si>
    <t>2/0-2/0-2/0-6</t>
  </si>
  <si>
    <t>4/0-4/0-4/0-4</t>
  </si>
  <si>
    <t>250-250-250-4</t>
  </si>
  <si>
    <t>350-350-350-3</t>
  </si>
  <si>
    <t>4-COND W/GND MC CABLE CU</t>
  </si>
  <si>
    <t>4-4-4-4-8</t>
  </si>
  <si>
    <t>3-3-3-3-6</t>
  </si>
  <si>
    <t>2-2-2-2-6</t>
  </si>
  <si>
    <t>1-1-1-1-6</t>
  </si>
  <si>
    <t>1/0-1/0-1/0-1/0-6</t>
  </si>
  <si>
    <t>2/0-2/0-2/0-2/0-6</t>
  </si>
  <si>
    <t>4/0-4/0-4/0-4/0-4</t>
  </si>
  <si>
    <t>250-250-250-250-4</t>
  </si>
  <si>
    <t>350-350-350-350-3</t>
  </si>
  <si>
    <t>'</t>
  </si>
  <si>
    <t>MANUAL</t>
  </si>
  <si>
    <t>2" EMT</t>
  </si>
  <si>
    <t>AUTO/MANUAL</t>
  </si>
  <si>
    <t>SHOW UFER GROUND</t>
  </si>
  <si>
    <t>Voltage Drop, Fault Current &amp; Ufer Ground</t>
  </si>
  <si>
    <t>BUSWAY</t>
  </si>
  <si>
    <t>SYSTEM</t>
  </si>
  <si>
    <t>#2 CU</t>
  </si>
  <si>
    <t>NO TRANSFORMER 3-PHASE Y</t>
  </si>
  <si>
    <t xml:space="preserve">Available Fault Current at Starting Point </t>
  </si>
  <si>
    <t xml:space="preserve"> AFC x </t>
  </si>
  <si>
    <t xml:space="preserve"> UA ) + </t>
  </si>
  <si>
    <t xml:space="preserve"> MC ) = </t>
  </si>
  <si>
    <t xml:space="preserve"> AFC</t>
  </si>
  <si>
    <t xml:space="preserve"> AFC X </t>
  </si>
  <si>
    <t xml:space="preserve">Start &gt; </t>
  </si>
  <si>
    <t xml:space="preserve"> &lt; </t>
  </si>
  <si>
    <t>3/4"</t>
  </si>
  <si>
    <t xml:space="preserve">' </t>
  </si>
  <si>
    <t>1"</t>
  </si>
  <si>
    <t>feeder type</t>
  </si>
  <si>
    <t xml:space="preserve">    </t>
  </si>
  <si>
    <t>1 1/4"</t>
  </si>
  <si>
    <t>1 1/2"</t>
  </si>
  <si>
    <t>2"</t>
  </si>
  <si>
    <t>2 1/2"</t>
  </si>
  <si>
    <t>3"</t>
  </si>
  <si>
    <t>3 1/2"</t>
  </si>
  <si>
    <t xml:space="preserve">End &gt; </t>
  </si>
  <si>
    <t>4"</t>
  </si>
  <si>
    <t xml:space="preserve">Step 4 - Conductor Factor CF - Formula </t>
  </si>
  <si>
    <t>STELL=1 PLASTIC=2</t>
  </si>
  <si>
    <t>CU=1 AL=2</t>
  </si>
  <si>
    <t xml:space="preserve">Conductor Factor CF - Formula </t>
  </si>
  <si>
    <t xml:space="preserve"> x </t>
  </si>
  <si>
    <t xml:space="preserve"> L x </t>
  </si>
  <si>
    <t xml:space="preserve"> AFC  ) ÷ ( </t>
  </si>
  <si>
    <t xml:space="preserve"> C x </t>
  </si>
  <si>
    <t xml:space="preserve"> N x </t>
  </si>
  <si>
    <t xml:space="preserve"> CF</t>
  </si>
  <si>
    <t>Print</t>
  </si>
  <si>
    <t xml:space="preserve"> L X </t>
  </si>
  <si>
    <t xml:space="preserve"> C X </t>
  </si>
  <si>
    <t xml:space="preserve"> N X </t>
  </si>
  <si>
    <t xml:space="preserve">Step 5 - Conductor Multiplier CM - Formula </t>
  </si>
  <si>
    <t xml:space="preserve">Conductor Multiplier CM - Formula </t>
  </si>
  <si>
    <t xml:space="preserve"> ( </t>
  </si>
  <si>
    <t xml:space="preserve"> ) ÷ ( </t>
  </si>
  <si>
    <t xml:space="preserve"> + </t>
  </si>
  <si>
    <t xml:space="preserve"> CF ) = </t>
  </si>
  <si>
    <t xml:space="preserve"> CM </t>
  </si>
  <si>
    <t xml:space="preserve">Step 6 - Conductor Let-Through Current CLC - Formula </t>
  </si>
  <si>
    <t xml:space="preserve">Conductor Let-Through Current CLC - Formula </t>
  </si>
  <si>
    <t xml:space="preserve"> CM ) = </t>
  </si>
  <si>
    <t xml:space="preserve"> CLC</t>
  </si>
  <si>
    <t>C VALUES</t>
  </si>
  <si>
    <t>Steel Conduit</t>
  </si>
  <si>
    <t>Nonmagnetic Conduit</t>
  </si>
  <si>
    <t>SER-ROMEX</t>
  </si>
  <si>
    <t>3 or 4 Single</t>
  </si>
  <si>
    <t>C7</t>
  </si>
  <si>
    <t>Cables CU</t>
  </si>
  <si>
    <t>Cables AL</t>
  </si>
  <si>
    <t>#14</t>
  </si>
  <si>
    <t>#12</t>
  </si>
  <si>
    <t xml:space="preserve">(( </t>
  </si>
  <si>
    <t>OVERHEAD</t>
  </si>
  <si>
    <t>ERRORS</t>
  </si>
  <si>
    <t>MAIN TO DWELLING ERROR</t>
  </si>
  <si>
    <t>VD YES/NO</t>
  </si>
  <si>
    <t>CALCULATED LOAD</t>
  </si>
  <si>
    <t>MINIMUM AMPS</t>
  </si>
  <si>
    <t xml:space="preserve">A </t>
  </si>
  <si>
    <t xml:space="preserve">V </t>
  </si>
  <si>
    <t>NUMBER OF DWELLING UNITS</t>
  </si>
  <si>
    <t>COUNT</t>
  </si>
  <si>
    <t xml:space="preserve">YOUR SERVICE CONFIGURATION HAS </t>
  </si>
  <si>
    <t xml:space="preserve"> DWELLING UNITS AND EACH DWELLING HAS A RANGE</t>
  </si>
  <si>
    <t>Code Check Ranges</t>
  </si>
  <si>
    <t xml:space="preserve"> DWELLING UNITS, HOWEVER, ONLY </t>
  </si>
  <si>
    <t xml:space="preserve"> OF THE DWELLINGS</t>
  </si>
  <si>
    <t>HAVE A RANGE. CHECK EACH DWELLING AND MAKE SURE AT LEAST ONE (1) RANGE IS ENTERED</t>
  </si>
  <si>
    <t>IF ANY OF THE DWELLINGS DO NOT HAVE A RANGE YOU WILL NEED TO ENTER 1 RANGE AT 8 KW.</t>
  </si>
  <si>
    <t xml:space="preserve"> DWELLING UNITS AND NONE OF THE UNITS HAVE A RANGE.</t>
  </si>
  <si>
    <t>Code Check Electric Heating or Air Conditioning</t>
  </si>
  <si>
    <t>AC UNITS</t>
  </si>
  <si>
    <t xml:space="preserve"> DWELLING UNITS AND EACH DWELLING HAS A HEATING</t>
  </si>
  <si>
    <t>OR AIR CONDITIONING LOAD</t>
  </si>
  <si>
    <t>HAVE A HEATING OR AIR CONDITIONING LOADS. CHECK EACH DWELLING AND MAKE SURE EACH</t>
  </si>
  <si>
    <t>DWELLING HAS A HEATING OR AIR CONDITIONING LOAD.</t>
  </si>
  <si>
    <t>IF ANY OF THE DWELLINGS DO NOT HAVE A HEATING OR AIR CONDITIONING LOAD YOU WILL NEED</t>
  </si>
  <si>
    <t xml:space="preserve"> DWELLING UNITS AND NONE OF THE UNITS HAVE A HEATING</t>
  </si>
  <si>
    <t>AIR CONDITIONING LOAD FOR ECAH DWELLING AND APPLIED THAT TO THE LOAD CALCULATIONS.</t>
  </si>
  <si>
    <t xml:space="preserve">FUTURE COOLING LOAD ( </t>
  </si>
  <si>
    <t xml:space="preserve"> UNITS X 2,500 VA ) = </t>
  </si>
  <si>
    <t>OR AIR CONDITIONING LOAD. THE PROGRAM HAS AUTOMATICALLY CALCULATED  A 2.5 KVA</t>
  </si>
  <si>
    <t>MAIN PANEL</t>
  </si>
  <si>
    <t xml:space="preserve">FUTURE FACTOR ( </t>
  </si>
  <si>
    <t>KEY</t>
  </si>
  <si>
    <t>A - Amps</t>
  </si>
  <si>
    <t>AFC - Available Fault Current</t>
  </si>
  <si>
    <t>C - Conductor Constance</t>
  </si>
  <si>
    <t>CF - Conductor Factor</t>
  </si>
  <si>
    <t>CLC - Conductor Let Through Current</t>
  </si>
  <si>
    <t>CM - Conductor Multiplier</t>
  </si>
  <si>
    <t>L - Length</t>
  </si>
  <si>
    <t>MC - Motor Contribution</t>
  </si>
  <si>
    <t>N - Number of Conductors</t>
  </si>
  <si>
    <t>R - Resistance</t>
  </si>
  <si>
    <t>UA - Utility Adjustment</t>
  </si>
  <si>
    <t>V - Volts</t>
  </si>
  <si>
    <t>VA - Volt Amps</t>
  </si>
  <si>
    <t>VD - Voltage Drop</t>
  </si>
  <si>
    <t>ALL</t>
  </si>
  <si>
    <t>FEEDER</t>
  </si>
  <si>
    <t>ACTIVE</t>
  </si>
  <si>
    <t>UA</t>
  </si>
  <si>
    <t>MC</t>
  </si>
  <si>
    <t>C</t>
  </si>
  <si>
    <t>V</t>
  </si>
  <si>
    <t xml:space="preserve"> MC ) X </t>
  </si>
  <si>
    <t xml:space="preserve">( 1  ÷ ( 1 + </t>
  </si>
  <si>
    <t xml:space="preserve"> L X (( </t>
  </si>
  <si>
    <t xml:space="preserve"> MC )) ÷ ( </t>
  </si>
  <si>
    <t xml:space="preserve"> V ))) = </t>
  </si>
  <si>
    <t>HP</t>
  </si>
  <si>
    <t>HSP</t>
  </si>
  <si>
    <t>SERVICE</t>
  </si>
  <si>
    <t>CONDUCTOR</t>
  </si>
  <si>
    <t>CONSTANT</t>
  </si>
  <si>
    <t>CONDUCTORS</t>
  </si>
  <si>
    <t>FAULT CURRENT CALCULATIONS</t>
  </si>
  <si>
    <t>MAIN PANEL T0</t>
  </si>
  <si>
    <t xml:space="preserve">MAIN PANEL T0 </t>
  </si>
  <si>
    <t>MULTIPLIER</t>
  </si>
  <si>
    <t>IF($B$7=0," ",'C:\RES\[DP1.xls]Export'!$AM$4)</t>
  </si>
  <si>
    <t>.xls]Export'!$AM$4)</t>
  </si>
  <si>
    <t>% VD</t>
  </si>
  <si>
    <t xml:space="preserve">( 2 X </t>
  </si>
  <si>
    <t xml:space="preserve"> A ÷ 1,000 X </t>
  </si>
  <si>
    <t xml:space="preserve"> V X 100 ) = </t>
  </si>
  <si>
    <t>VOLTAGE DROP CALCULATIONS</t>
  </si>
  <si>
    <t>VOLTAGE DROP PERCENTAGE</t>
  </si>
  <si>
    <t>R - Conductor Resistance</t>
  </si>
  <si>
    <t>HI VOLT</t>
  </si>
  <si>
    <t>LOW VOLT</t>
  </si>
  <si>
    <t>CODE YEAR</t>
  </si>
  <si>
    <t>YEAR</t>
  </si>
  <si>
    <t>RANGE DEMAND</t>
  </si>
  <si>
    <t>DRYER DEMAND</t>
  </si>
  <si>
    <t>Prepared With Residential 1-Line 2008 Software - Copyright Durand &amp; Associates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</si>
  <si>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</si>
  <si>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</si>
  <si>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</si>
  <si>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</si>
  <si>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</si>
  <si>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</si>
  <si>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</si>
  <si>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</si>
  <si>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</si>
  <si>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</si>
  <si>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Number of Commercial Units</t>
  </si>
  <si>
    <t>CP</t>
  </si>
  <si>
    <t xml:space="preserve"> 30 K </t>
  </si>
  <si>
    <t>COMMERCIAL</t>
  </si>
  <si>
    <t>DWELLINGS</t>
  </si>
  <si>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</si>
  <si>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</si>
  <si>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</si>
  <si>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</si>
  <si>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</si>
  <si>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</si>
  <si>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</si>
  <si>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</si>
  <si>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</si>
  <si>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</si>
  <si>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COM 1</t>
  </si>
  <si>
    <t>COM 2</t>
  </si>
  <si>
    <t>COM 3</t>
  </si>
  <si>
    <t>COM 4</t>
  </si>
  <si>
    <t>COM 5</t>
  </si>
  <si>
    <t>COM 6</t>
  </si>
  <si>
    <t>COM 7</t>
  </si>
  <si>
    <t>COM 8</t>
  </si>
  <si>
    <t>COM 9</t>
  </si>
  <si>
    <t>COM 10</t>
  </si>
  <si>
    <t>='C:\Mixed\[CP</t>
  </si>
  <si>
    <t>.XLS]Output-Input'!$I$13</t>
  </si>
  <si>
    <t>.XLS]Output-Input'!$I$39</t>
  </si>
  <si>
    <t>CP_PANELS</t>
  </si>
  <si>
    <t>=0,"",'C:\Mixed\[CP</t>
  </si>
  <si>
    <t>.XLS]Output-Input'!$C$7)</t>
  </si>
  <si>
    <t>VA</t>
  </si>
  <si>
    <t>CONTINUOUS LOAD</t>
  </si>
  <si>
    <t>GENERAL LOAD</t>
  </si>
  <si>
    <t>RECEPTACLE LOAD</t>
  </si>
  <si>
    <t>TOTALS</t>
  </si>
  <si>
    <t>MOTOR LOAD</t>
  </si>
  <si>
    <t>LARGEST MOTOR LOAD</t>
  </si>
  <si>
    <t>KITCHEN LOAD</t>
  </si>
  <si>
    <t># OF</t>
  </si>
  <si>
    <t>KITCHEN</t>
  </si>
  <si>
    <t>HARMONIC</t>
  </si>
  <si>
    <t>MAIN PHASE</t>
  </si>
  <si>
    <t># OF CP</t>
  </si>
  <si>
    <t>LOAD SUMMARY - COMMERCIAL SPACE</t>
  </si>
  <si>
    <t>RECEPTACLE</t>
  </si>
  <si>
    <t>L3</t>
  </si>
  <si>
    <t>SUB PANEL PHASE</t>
  </si>
  <si>
    <t>THIS PANEL</t>
  </si>
  <si>
    <t>DIVERSITY</t>
  </si>
  <si>
    <t>SUB PANEL ERROR</t>
  </si>
  <si>
    <t>SUB PANEL</t>
  </si>
  <si>
    <t>RECEPTACLE LOAD DIVERSITY</t>
  </si>
  <si>
    <t>3-PHASE DELTA</t>
  </si>
  <si>
    <t>HI VOTLS</t>
  </si>
  <si>
    <t>FIRST 10,000 W</t>
  </si>
  <si>
    <t>LOW VOTLS</t>
  </si>
  <si>
    <t>1ST 10,000W</t>
  </si>
  <si>
    <t>KITCHEN LOADS</t>
  </si>
  <si>
    <t>NEUTRAL SIZE</t>
  </si>
  <si>
    <t>CONTINUOUS LOAD (NEC 215.2)</t>
  </si>
  <si>
    <t>HI-LEG SIZE</t>
  </si>
  <si>
    <t>HAS SUB PANEL</t>
  </si>
  <si>
    <t>VD CALCS</t>
  </si>
  <si>
    <t>MOTOR LOAD (NEC 430.24)</t>
  </si>
  <si>
    <t>FAULT METHOD</t>
  </si>
  <si>
    <t>PLUS 25% OF LARGEST MOTOR</t>
  </si>
  <si>
    <t xml:space="preserve">SOURCE </t>
  </si>
  <si>
    <t>SHOW AFC</t>
  </si>
  <si>
    <t>TRANSFORMER</t>
  </si>
  <si>
    <t xml:space="preserve">L1 ( </t>
  </si>
  <si>
    <t xml:space="preserve">L2 ( </t>
  </si>
  <si>
    <t>TOTAL BALANCED LOAD (1-PHASE)</t>
  </si>
  <si>
    <t xml:space="preserve">L3 ( </t>
  </si>
  <si>
    <t>TOTAL UNBALANCED LOAD (1-PHASE)</t>
  </si>
  <si>
    <t>A</t>
  </si>
  <si>
    <t>LOAD ERROR</t>
  </si>
  <si>
    <t>NEUTRAL AMPS 2008 NEC</t>
  </si>
  <si>
    <t>NEUTRAL LOAD</t>
  </si>
  <si>
    <t>1ST 10,00 VA</t>
  </si>
  <si>
    <t>REMAINDER AT 50%</t>
  </si>
  <si>
    <t>MAX VA</t>
  </si>
  <si>
    <t>VA X 3</t>
  </si>
  <si>
    <t>MAX LINE AMPS</t>
  </si>
  <si>
    <t>MAX WATTS</t>
  </si>
  <si>
    <t>HARMONIC %</t>
  </si>
  <si>
    <t xml:space="preserve">Harmonic Load </t>
  </si>
  <si>
    <t xml:space="preserve">Connected Load </t>
  </si>
  <si>
    <t xml:space="preserve"> VA ) X 100 = </t>
  </si>
  <si>
    <t xml:space="preserve"> %</t>
  </si>
  <si>
    <t>RECEPTACLE LOAD (NEC 220.14)</t>
  </si>
  <si>
    <t>KITCHEN LOAD (NEC 220.56)</t>
  </si>
  <si>
    <t xml:space="preserve"> VA X </t>
  </si>
  <si>
    <t>FULL</t>
  </si>
  <si>
    <t>NONE</t>
  </si>
  <si>
    <t>LINE AMPS BALANCED (1-PHASE)</t>
  </si>
  <si>
    <t>LINE AMPS UNBALANCED (1-PHASE)</t>
  </si>
  <si>
    <t>NON-RESIDENTIAL LOAD</t>
  </si>
  <si>
    <t>NON RESIDENTIAL LOADS</t>
  </si>
  <si>
    <t>RESIDENTIAL LOADS</t>
  </si>
  <si>
    <t>NON RESIDENTIAL NEUTRAL LOAD</t>
  </si>
  <si>
    <t>NON REIDENTIAL NEUTRAL LOAD</t>
  </si>
  <si>
    <t>NEUTRAL LOAD AMPS</t>
  </si>
  <si>
    <t>NON RESIDENTIAL LOAD</t>
  </si>
  <si>
    <t>M6</t>
  </si>
  <si>
    <t>N6</t>
  </si>
  <si>
    <t>SUB</t>
  </si>
  <si>
    <t xml:space="preserve">PANEL </t>
  </si>
  <si>
    <t>( Harmonic Load 60,000 VA ÷ Connected Load 60,000 VA ) X 100 = 100 %</t>
  </si>
  <si>
    <t xml:space="preserve">( Harmonic Load </t>
  </si>
  <si>
    <t xml:space="preserve"> A ) X </t>
  </si>
  <si>
    <t xml:space="preserve"> A ÷ Design Load </t>
  </si>
  <si>
    <t>Harmonic Load Does Not Exceed 50% of Total Load</t>
  </si>
  <si>
    <t>AUTO MANUAL</t>
  </si>
  <si>
    <t>Harmonic Load Exceeds 50% of Total Load and Service Entrance Conductors Should Be Derated to 80%</t>
  </si>
  <si>
    <t xml:space="preserve"> DP</t>
  </si>
  <si>
    <t>100A-2P</t>
  </si>
  <si>
    <t>30</t>
  </si>
  <si>
    <t xml:space="preserve"> 1- SER CABLE</t>
  </si>
  <si>
    <t xml:space="preserve"> 3-#1 AL  </t>
  </si>
  <si>
    <t xml:space="preserve"> 1-#3 GND</t>
  </si>
  <si>
    <t xml:space="preserve"> 0.7 % VD</t>
  </si>
  <si>
    <t xml:space="preserve"> 30'</t>
  </si>
  <si>
    <t xml:space="preserve">  '</t>
  </si>
  <si>
    <t>12</t>
  </si>
  <si>
    <t>6</t>
  </si>
  <si>
    <t>9,000</t>
  </si>
  <si>
    <t xml:space="preserve">TOTAL SQ FOOTAGE ( 9,000 SQ FT X 3 VA ) = </t>
  </si>
  <si>
    <t xml:space="preserve">APPLIANCE CIRCUITS ( 12 X 1,500 VA ) = </t>
  </si>
  <si>
    <t xml:space="preserve">LAUNDRY CIRCUITS ( 6 X 1,500 VA ) = </t>
  </si>
  <si>
    <t xml:space="preserve">6 UNITS TOTAL KVA = </t>
  </si>
  <si>
    <t xml:space="preserve">FUTURE COOLING LOAD ( 6 UNITS X 2,500 VA ) = </t>
  </si>
  <si>
    <t>YOUR SERVICE CONFIGURATION HAS 6 DWELLING UNITS AND EACH DWELLING HAS A HEATING</t>
  </si>
  <si>
    <t>YOUR SERVICE CONFIGURATION HAS 6 DWELLING UNITS AND EACH DWELLING HAS A RANGE</t>
  </si>
  <si>
    <t>THIS MEETS THE REQUIREMENTS OF NEC 220.84(A)(2) EXCEPTION</t>
  </si>
  <si>
    <t>THIS MEETS THE REQUIREMENTS OF NEC 220.84(A)(3)</t>
  </si>
  <si>
    <t>=IF($B$7=0," ",'C:\RES\[DP1.xls]Export'!$AM$4)</t>
  </si>
  <si>
    <t>=IF($B$8=0," ",'C:\RES\[DP2.xls]Export'!$AM$4)</t>
  </si>
  <si>
    <t>=IF($B$9=0," ",'C:\RES\[DP3.xls]Export'!$AM$4)</t>
  </si>
  <si>
    <t>=IF($B$10=0," ",'C:\RES\[DP4.xls]Export'!$AM$4)</t>
  </si>
  <si>
    <t>=IF($B$11=0," ",'C:\RES\[DP5.xls]Export'!$AM$4)</t>
  </si>
  <si>
    <t>=IF($B$12=0," ",'C:\RES\[DP6.xls]Export'!$AM$4)</t>
  </si>
  <si>
    <t>=IF($B$13=0," ",'C:\RES\[DP7.xls]Export'!$AM$4)</t>
  </si>
  <si>
    <t>YOUR SERVICE CONFIGURATION HAS 6 DWELLING UNITS, HOWEVER, ONLY 6 OF THE DWELLINGS</t>
  </si>
  <si>
    <t>=IF($B$14=0," ",'C:\RES\[DP8.xls]Export'!$AM$4)</t>
  </si>
  <si>
    <t>=IF($B$15=0," ",'C:\RES\[DP9.xls]Export'!$AM$4)</t>
  </si>
  <si>
    <t>=IF($B$16=0," ",'C:\RES\[DP10.xls]Export'!$AM$4)</t>
  </si>
  <si>
    <t>=IF($B$17=0," ",'C:\RES\[DP11.xls]Export'!$AM$4)</t>
  </si>
  <si>
    <t>THIS WILL MEET THE REQUIREMENTS OF NEC 220.84(A)(2) EXCEPTION</t>
  </si>
  <si>
    <t>=IF($B$18=0," ",'C:\RES\[DP12.xls]Export'!$AM$4)</t>
  </si>
  <si>
    <t>=IF($B$19=0," ",'C:\RES\[DP13.xls]Export'!$AM$4)</t>
  </si>
  <si>
    <t>TO ENTER A LOAD. THIS WILL MEET THE REQUIREMENTS OF NEC 220.84(A)(3)</t>
  </si>
  <si>
    <t>=IF($B$20=0," ",'C:\RES\[DP14.xls]Export'!$AM$4)</t>
  </si>
  <si>
    <t>=IF($B$21=0," ",'C:\RES\[DP15.xls]Export'!$AM$4)</t>
  </si>
  <si>
    <t>=IF($B$22=0," ",'C:\RES\[DP16.xls]Export'!$AM$4)</t>
  </si>
  <si>
    <t>=IF($B$23=0," ",'C:\RES\[DP17.xls]Export'!$AM$4)</t>
  </si>
  <si>
    <t>=IF($B$24=0," ",'C:\RES\[DP18.xls]Export'!$AM$4)</t>
  </si>
  <si>
    <t>=IF($B$25=0," ",'C:\RES\[DP19.xls]Export'!$AM$4)</t>
  </si>
  <si>
    <t>=IF($B$26=0," ",'C:\RES\[DP20.xls]Export'!$AM$4)</t>
  </si>
  <si>
    <t>YOUR SERVICE CONFIGURATION HAS 6 DWELLING UNITS AND NONE OF THE UNITS HAVE A RANGE.</t>
  </si>
  <si>
    <t>=IF($B$27=0," ",'C:\RES\[DP21.xls]Export'!$AM$4)</t>
  </si>
  <si>
    <t>THE PROGRAM HAS AUTOMATICALLY APPLIED NEC 220.84(A)(2) EXCEPTION TO THE LOAD CALCULATIONS</t>
  </si>
  <si>
    <t>=IF($B$28=0," ",'C:\RES\[DP22.xls]Export'!$AM$4)</t>
  </si>
  <si>
    <t>=IF($B$29=0," ",'C:\RES\[DP23.xls]Export'!$AM$4)</t>
  </si>
  <si>
    <t>=IF($B$30=0," ",'C:\RES\[DP24.xls]Export'!$AM$4)</t>
  </si>
  <si>
    <t>=IF($B$31=0," ",'C:\RES\[DP25.xls]Export'!$AM$4)</t>
  </si>
  <si>
    <t>=IF($B$32=0," ",'C:\RES\[DP26.xls]Export'!$AM$4)</t>
  </si>
  <si>
    <t>YOUR SERVICE CONFIGURATION HAS 6 DWELLING UNITS AND NONE OF THE UNITS HAVE A HEATING</t>
  </si>
  <si>
    <t>=IF($B$33=0," ",'C:\RES\[DP27.xls]Export'!$AM$4)</t>
  </si>
  <si>
    <t>=IF($B$34=0," ",'C:\RES\[DP28.xls]Export'!$AM$4)</t>
  </si>
  <si>
    <t>=IF($B$35=0," ",'C:\RES\[DP29.xls]Export'!$AM$4)</t>
  </si>
  <si>
    <t>=IF($B$36=0," ",'C:\RES\[DP30.xls]Export'!$AM$4)</t>
  </si>
  <si>
    <t>='C:\Mixed\[CP1.XLS]Output-Input'!$I$39</t>
  </si>
  <si>
    <t>='C:\Mixed\[CP2.XLS]Output-Input'!$I$39</t>
  </si>
  <si>
    <t>='C:\Mixed\[CP3.XLS]Output-Input'!$I$39</t>
  </si>
  <si>
    <t>='C:\Mixed\[CP4.XLS]Output-Input'!$I$39</t>
  </si>
  <si>
    <t>='C:\Mixed\[CP5.XLS]Output-Input'!$I$39</t>
  </si>
  <si>
    <t>='C:\Mixed\[CP6.XLS]Output-Input'!$I$39</t>
  </si>
  <si>
    <t>='C:\Mixed\[CP7.XLS]Output-Input'!$I$39</t>
  </si>
  <si>
    <t>='C:\Mixed\[CP8.XLS]Output-Input'!$I$39</t>
  </si>
  <si>
    <t>='C:\Mixed\[CP9.XLS]Output-Input'!$I$39</t>
  </si>
  <si>
    <t>='C:\Mixed\[CP10.XLS]Output-Input'!$I$39</t>
  </si>
  <si>
    <t>='C:\Mixed\[CP11.XLS]Output-Input'!$I$39</t>
  </si>
  <si>
    <t>='C:\Mixed\[CP12.XLS]Output-Input'!$I$39</t>
  </si>
  <si>
    <t>='C:\Mixed\[CP13.XLS]Output-Input'!$I$39</t>
  </si>
  <si>
    <t>='C:\Mixed\[CP14.XLS]Output-Input'!$I$39</t>
  </si>
  <si>
    <t>='C:\Mixed\[CP15.XLS]Output-Input'!$I$39</t>
  </si>
  <si>
    <t>='C:\Mixed\[CP16.XLS]Output-Input'!$I$39</t>
  </si>
  <si>
    <t>='C:\Mixed\[CP17.XLS]Output-Input'!$I$39</t>
  </si>
  <si>
    <t>='C:\Mixed\[CP18.XLS]Output-Input'!$I$39</t>
  </si>
  <si>
    <t>='C:\Mixed\[CP19.XLS]Output-Input'!$I$13</t>
  </si>
  <si>
    <t>='C:\Mixed\[CP20.XLS]Output-Input'!$I$13</t>
  </si>
  <si>
    <t>='C:\Mixed\[CP21.XLS]Output-Input'!$I$13</t>
  </si>
  <si>
    <t>='C:\Mixed\[CP22.XLS]Output-Input'!$I$13</t>
  </si>
  <si>
    <t>='C:\Mixed\[CP23.XLS]Output-Input'!$I$13</t>
  </si>
  <si>
    <t>='C:\Mixed\[CP24.XLS]Output-Input'!$I$13</t>
  </si>
  <si>
    <t>='C:\Mixed\[CP25.XLS]Output-Input'!$I$13</t>
  </si>
  <si>
    <t>='C:\Mixed\[CP26.XLS]Output-Input'!$I$13</t>
  </si>
  <si>
    <t>='C:\Mixed\[CP27.XLS]Output-Input'!$I$13</t>
  </si>
  <si>
    <t>='C:\Mixed\[CP28.XLS]Output-Input'!$I$13</t>
  </si>
  <si>
    <t>='C:\Mixed\[CP29.XLS]Output-Input'!$I$13</t>
  </si>
  <si>
    <t>='C:\Mixed\[CP30.XLS]Output-Input'!$I$13</t>
  </si>
  <si>
    <t xml:space="preserve"> HP1</t>
  </si>
  <si>
    <t xml:space="preserve"> 60A-2P</t>
  </si>
  <si>
    <t xml:space="preserve"> SINGLE PHASE</t>
  </si>
  <si>
    <t xml:space="preserve"> 0.0 % VD</t>
  </si>
  <si>
    <t xml:space="preserve"> 20'</t>
  </si>
  <si>
    <t xml:space="preserve"> 1-3/4'' EMT</t>
  </si>
  <si>
    <t xml:space="preserve"> 3-#6 THHN CU</t>
  </si>
  <si>
    <t xml:space="preserve"> 1-#10 CU GND</t>
  </si>
  <si>
    <t xml:space="preserve"> CP</t>
  </si>
  <si>
    <t xml:space="preserve"> 100A-2P</t>
  </si>
  <si>
    <t xml:space="preserve">6.2 K </t>
  </si>
  <si>
    <t xml:space="preserve"> 50'</t>
  </si>
  <si>
    <t xml:space="preserve"> 1-1'' EMT</t>
  </si>
  <si>
    <t xml:space="preserve"> 3-#3 THHN CU</t>
  </si>
  <si>
    <t xml:space="preserve"> 1-#8 CU GND</t>
  </si>
  <si>
    <t>=IF($B$7=0,"",'C:\Mixed\[CP1.XLS]Output-Input'!$C$7)</t>
  </si>
  <si>
    <t>=IF($B$8=0,"",'C:\Mixed\[CP2.XLS]Output-Input'!$C$7)</t>
  </si>
  <si>
    <t>=IF($B$9=0,"",'C:\Mixed\[CP3.XLS]Output-Input'!$C$7)</t>
  </si>
  <si>
    <t>=IF($B$10=0,"",'C:\Mixed\[CP4.XLS]Output-Input'!$C$7)</t>
  </si>
  <si>
    <t>=IF($B$11=0,"",'C:\Mixed\[CP5.XLS]Output-Input'!$C$7)</t>
  </si>
  <si>
    <t>=IF($B$12=0,"",'C:\Mixed\[CP6.XLS]Output-Input'!$C$7)</t>
  </si>
  <si>
    <t>=IF($B$13=0,"",'C:\Mixed\[CP7.XLS]Output-Input'!$C$7)</t>
  </si>
  <si>
    <t>=IF($B$14=0,"",'C:\Mixed\[CP8.XLS]Output-Input'!$C$7)</t>
  </si>
  <si>
    <t>=IF($B$15=0,"",'C:\Mixed\[CP9.XLS]Output-Input'!$C$7)</t>
  </si>
  <si>
    <t>=IF($B$16=0,"",'C:\Mixed\[CP10.XLS]Output-Input'!$C$7)</t>
  </si>
  <si>
    <t>NOTE #1</t>
  </si>
  <si>
    <t>0</t>
  </si>
  <si>
    <t>218</t>
  </si>
  <si>
    <t>100</t>
  </si>
  <si>
    <t>( Harmonic Load 0 A ÷ Design Load 218 A ) X 100 = 0 %</t>
  </si>
  <si>
    <t>HARMONIC CURRENT CALCULATION ( NEC 310.15 (B) 4 (C) &amp; NEC TABLE 310.15 B (2) A</t>
  </si>
  <si>
    <t>HP1</t>
  </si>
  <si>
    <t>HP2</t>
  </si>
  <si>
    <t>DEMO VERSION</t>
  </si>
  <si>
    <t>&lt; CELL PROTECTED IN DEMO</t>
  </si>
  <si>
    <t>Mixed Occupancy 1-Line Software 2026 - Version 26.0A - Copyright Durand &amp; Associates</t>
  </si>
  <si>
    <t>Prepared With Mixed Occupancy 1-Line 2026 Software - Copyright Durand &amp; Associates - www.durandassociates.com</t>
  </si>
</sst>
</file>

<file path=xl/styles.xml><?xml version="1.0" encoding="utf-8"?>
<styleSheet xmlns="http://schemas.openxmlformats.org/spreadsheetml/2006/main">
  <numFmts count="39">
    <numFmt numFmtId="6" formatCode="&quot;$&quot;#,##0_);[Red]\(&quot;$&quot;#,##0\)"/>
    <numFmt numFmtId="164" formatCode="0.0"/>
    <numFmt numFmtId="165" formatCode="#,##0\ ;\(#,##0\)"/>
    <numFmt numFmtId="166" formatCode="0.00&quot; KW&quot;"/>
    <numFmt numFmtId="167" formatCode=".00"/>
    <numFmt numFmtId="168" formatCode="00&quot; %&quot;"/>
    <numFmt numFmtId="169" formatCode="00.0"/>
    <numFmt numFmtId="170" formatCode="#,##0.0"/>
    <numFmt numFmtId="171" formatCode="0&quot;%&quot;"/>
    <numFmt numFmtId="172" formatCode="0.0000"/>
    <numFmt numFmtId="173" formatCode="0.00000000000"/>
    <numFmt numFmtId="174" formatCode="0.000"/>
    <numFmt numFmtId="175" formatCode="0.000000"/>
    <numFmt numFmtId="176" formatCode="0&quot;'&quot;"/>
    <numFmt numFmtId="177" formatCode="#,##0&quot; VA&quot;"/>
    <numFmt numFmtId="178" formatCode="#,##0&quot; A&quot;"/>
    <numFmt numFmtId="179" formatCode="&quot;R&quot;0"/>
    <numFmt numFmtId="181" formatCode="#,##0\ \ \ \ &quot;W&quot;"/>
    <numFmt numFmtId="182" formatCode="&quot;x &quot;General&quot; )&quot;"/>
    <numFmt numFmtId="183" formatCode="&quot;( &quot;General"/>
    <numFmt numFmtId="184" formatCode="&quot;( &quot;0&quot; KVA &quot;"/>
    <numFmt numFmtId="185" formatCode="&quot;x  &quot;0&quot; L&quot;"/>
    <numFmt numFmtId="186" formatCode="&quot;x  &quot;0&quot;  x&quot;"/>
    <numFmt numFmtId="187" formatCode="0&quot; V )&quot;"/>
    <numFmt numFmtId="188" formatCode="&quot;= &quot;0.000"/>
    <numFmt numFmtId="189" formatCode="&quot;(  &quot;0&quot;  +&quot;"/>
    <numFmt numFmtId="190" formatCode="0.000&quot; F  )&quot;"/>
    <numFmt numFmtId="191" formatCode="&quot;=  &quot;0.000&quot; M&quot;"/>
    <numFmt numFmtId="192" formatCode="&quot;(  &quot;#,##0"/>
    <numFmt numFmtId="193" formatCode="&quot;=  &quot;#,##0"/>
    <numFmt numFmtId="194" formatCode="&quot;x  &quot;0.000&quot;  )&quot;"/>
    <numFmt numFmtId="195" formatCode="0&quot;  ÷  &quot;"/>
    <numFmt numFmtId="196" formatCode="0&quot; Feet&quot;"/>
    <numFmt numFmtId="197" formatCode="&quot;x &quot;#,##0&quot;  )&quot;"/>
    <numFmt numFmtId="198" formatCode="&quot;÷ ( &quot;#,##0"/>
    <numFmt numFmtId="199" formatCode="0&quot; Conductors Per Ø&quot;"/>
    <numFmt numFmtId="200" formatCode="#,##0.000"/>
    <numFmt numFmtId="201" formatCode="#,##0&quot;  W &quot;"/>
    <numFmt numFmtId="208" formatCode="#,##0&quot; %&quot;"/>
  </numFmts>
  <fonts count="10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10"/>
      <name val="Courier"/>
    </font>
    <font>
      <b/>
      <sz val="8"/>
      <name val="Arial"/>
      <family val="2"/>
    </font>
    <font>
      <sz val="9"/>
      <name val="Helv"/>
    </font>
    <font>
      <u/>
      <sz val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</borders>
  <cellStyleXfs count="10">
    <xf numFmtId="0" fontId="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</cellStyleXfs>
  <cellXfs count="555">
    <xf numFmtId="0" fontId="0" fillId="0" borderId="0" xfId="0"/>
    <xf numFmtId="0" fontId="2" fillId="0" borderId="0" xfId="0" applyFont="1"/>
    <xf numFmtId="0" fontId="2" fillId="0" borderId="0" xfId="0" applyFont="1" applyFill="1"/>
    <xf numFmtId="3" fontId="2" fillId="0" borderId="0" xfId="0" applyNumberFormat="1" applyFont="1"/>
    <xf numFmtId="0" fontId="2" fillId="2" borderId="0" xfId="0" applyFont="1" applyFill="1"/>
    <xf numFmtId="0" fontId="2" fillId="3" borderId="0" xfId="0" applyFont="1" applyFill="1"/>
    <xf numFmtId="3" fontId="2" fillId="3" borderId="0" xfId="0" applyNumberFormat="1" applyFont="1" applyFill="1"/>
    <xf numFmtId="3" fontId="2" fillId="2" borderId="0" xfId="0" applyNumberFormat="1" applyFont="1" applyFill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2" borderId="0" xfId="0" applyNumberFormat="1" applyFont="1" applyFill="1"/>
    <xf numFmtId="1" fontId="2" fillId="2" borderId="0" xfId="0" applyNumberFormat="1" applyFont="1" applyFill="1"/>
    <xf numFmtId="1" fontId="2" fillId="2" borderId="0" xfId="0" applyNumberFormat="1" applyFont="1" applyFill="1" applyAlignment="1">
      <alignment horizontal="right"/>
    </xf>
    <xf numFmtId="0" fontId="2" fillId="0" borderId="0" xfId="7" applyFont="1" applyFill="1" applyAlignment="1" applyProtection="1">
      <alignment horizontal="left"/>
      <protection hidden="1"/>
    </xf>
    <xf numFmtId="1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166" fontId="2" fillId="0" borderId="0" xfId="0" applyNumberFormat="1" applyFont="1"/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166" fontId="2" fillId="0" borderId="3" xfId="0" applyNumberFormat="1" applyFont="1" applyBorder="1"/>
    <xf numFmtId="167" fontId="2" fillId="0" borderId="3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166" fontId="2" fillId="0" borderId="7" xfId="0" applyNumberFormat="1" applyFont="1" applyBorder="1"/>
    <xf numFmtId="167" fontId="2" fillId="0" borderId="7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" fontId="2" fillId="2" borderId="9" xfId="0" applyNumberFormat="1" applyFont="1" applyFill="1" applyBorder="1"/>
    <xf numFmtId="166" fontId="2" fillId="0" borderId="9" xfId="0" applyNumberFormat="1" applyFont="1" applyBorder="1"/>
    <xf numFmtId="167" fontId="2" fillId="0" borderId="9" xfId="0" applyNumberFormat="1" applyFont="1" applyBorder="1"/>
    <xf numFmtId="166" fontId="2" fillId="0" borderId="2" xfId="0" applyNumberFormat="1" applyFont="1" applyBorder="1"/>
    <xf numFmtId="166" fontId="2" fillId="0" borderId="1" xfId="0" applyNumberFormat="1" applyFont="1" applyBorder="1"/>
    <xf numFmtId="0" fontId="2" fillId="0" borderId="9" xfId="0" applyFont="1" applyBorder="1"/>
    <xf numFmtId="3" fontId="2" fillId="2" borderId="9" xfId="0" applyNumberFormat="1" applyFont="1" applyFill="1" applyBorder="1"/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0" fontId="2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169" fontId="2" fillId="4" borderId="1" xfId="0" applyNumberFormat="1" applyFont="1" applyFill="1" applyBorder="1"/>
    <xf numFmtId="169" fontId="2" fillId="0" borderId="6" xfId="0" applyNumberFormat="1" applyFont="1" applyBorder="1"/>
    <xf numFmtId="169" fontId="2" fillId="0" borderId="0" xfId="0" applyNumberFormat="1" applyFont="1"/>
    <xf numFmtId="2" fontId="2" fillId="0" borderId="0" xfId="0" applyNumberFormat="1" applyFont="1" applyAlignment="1">
      <alignment horizontal="right"/>
    </xf>
    <xf numFmtId="3" fontId="2" fillId="0" borderId="3" xfId="0" applyNumberFormat="1" applyFont="1" applyBorder="1"/>
    <xf numFmtId="0" fontId="2" fillId="0" borderId="0" xfId="8" applyFont="1" applyProtection="1">
      <protection hidden="1"/>
    </xf>
    <xf numFmtId="3" fontId="2" fillId="0" borderId="0" xfId="8" applyNumberFormat="1" applyFont="1" applyProtection="1">
      <protection hidden="1"/>
    </xf>
    <xf numFmtId="0" fontId="2" fillId="0" borderId="0" xfId="8" applyFont="1" applyAlignment="1" applyProtection="1">
      <alignment horizontal="center"/>
      <protection hidden="1"/>
    </xf>
    <xf numFmtId="0" fontId="5" fillId="0" borderId="0" xfId="8" applyFont="1" applyAlignment="1" applyProtection="1">
      <alignment horizontal="left"/>
      <protection hidden="1"/>
    </xf>
    <xf numFmtId="0" fontId="2" fillId="0" borderId="10" xfId="8" applyFont="1" applyBorder="1" applyProtection="1">
      <protection hidden="1"/>
    </xf>
    <xf numFmtId="0" fontId="2" fillId="0" borderId="11" xfId="8" applyFont="1" applyBorder="1" applyAlignment="1" applyProtection="1">
      <alignment horizontal="center"/>
      <protection hidden="1"/>
    </xf>
    <xf numFmtId="0" fontId="2" fillId="0" borderId="12" xfId="8" applyFont="1" applyBorder="1" applyAlignment="1" applyProtection="1">
      <alignment horizontal="left"/>
      <protection hidden="1"/>
    </xf>
    <xf numFmtId="0" fontId="2" fillId="0" borderId="0" xfId="6" applyFont="1" applyAlignment="1" applyProtection="1">
      <alignment horizontal="center"/>
      <protection hidden="1"/>
    </xf>
    <xf numFmtId="0" fontId="2" fillId="0" borderId="13" xfId="8" applyFont="1" applyBorder="1" applyAlignment="1" applyProtection="1">
      <alignment horizontal="center"/>
      <protection hidden="1"/>
    </xf>
    <xf numFmtId="0" fontId="2" fillId="0" borderId="12" xfId="8" applyFont="1" applyBorder="1" applyProtection="1">
      <protection hidden="1"/>
    </xf>
    <xf numFmtId="0" fontId="2" fillId="0" borderId="14" xfId="8" applyFont="1" applyBorder="1" applyAlignment="1" applyProtection="1">
      <alignment horizontal="left"/>
      <protection hidden="1"/>
    </xf>
    <xf numFmtId="0" fontId="2" fillId="0" borderId="0" xfId="8" applyFont="1" applyAlignment="1" applyProtection="1">
      <alignment horizontal="left"/>
      <protection hidden="1"/>
    </xf>
    <xf numFmtId="170" fontId="2" fillId="0" borderId="0" xfId="8" applyNumberFormat="1" applyFont="1" applyAlignment="1" applyProtection="1">
      <alignment horizontal="center"/>
      <protection hidden="1"/>
    </xf>
    <xf numFmtId="164" fontId="2" fillId="0" borderId="0" xfId="8" applyNumberFormat="1" applyFont="1" applyAlignment="1" applyProtection="1">
      <alignment horizontal="center"/>
      <protection hidden="1"/>
    </xf>
    <xf numFmtId="0" fontId="2" fillId="0" borderId="15" xfId="8" applyFont="1" applyBorder="1" applyProtection="1">
      <protection hidden="1"/>
    </xf>
    <xf numFmtId="0" fontId="2" fillId="0" borderId="16" xfId="8" applyFont="1" applyBorder="1" applyAlignment="1" applyProtection="1">
      <alignment horizontal="center"/>
      <protection hidden="1"/>
    </xf>
    <xf numFmtId="0" fontId="2" fillId="0" borderId="0" xfId="8" applyFont="1" applyBorder="1" applyProtection="1">
      <protection hidden="1"/>
    </xf>
    <xf numFmtId="0" fontId="2" fillId="0" borderId="0" xfId="8" applyFont="1" applyBorder="1" applyAlignment="1" applyProtection="1">
      <alignment horizontal="center"/>
      <protection hidden="1"/>
    </xf>
    <xf numFmtId="164" fontId="2" fillId="0" borderId="17" xfId="8" applyNumberFormat="1" applyFont="1" applyBorder="1" applyAlignment="1" applyProtection="1">
      <alignment horizontal="center"/>
      <protection hidden="1"/>
    </xf>
    <xf numFmtId="0" fontId="2" fillId="0" borderId="17" xfId="8" applyFont="1" applyBorder="1" applyAlignment="1" applyProtection="1">
      <alignment horizontal="center"/>
      <protection hidden="1"/>
    </xf>
    <xf numFmtId="0" fontId="2" fillId="0" borderId="0" xfId="8" applyFont="1" applyAlignment="1" applyProtection="1">
      <protection hidden="1"/>
    </xf>
    <xf numFmtId="0" fontId="2" fillId="0" borderId="2" xfId="8" applyFont="1" applyBorder="1" applyAlignment="1" applyProtection="1">
      <alignment horizontal="center"/>
      <protection hidden="1"/>
    </xf>
    <xf numFmtId="173" fontId="2" fillId="0" borderId="0" xfId="8" applyNumberFormat="1" applyFont="1" applyAlignment="1" applyProtection="1">
      <alignment horizontal="left"/>
      <protection hidden="1"/>
    </xf>
    <xf numFmtId="9" fontId="2" fillId="0" borderId="2" xfId="8" applyNumberFormat="1" applyFont="1" applyBorder="1" applyAlignment="1" applyProtection="1">
      <alignment horizontal="center"/>
      <protection hidden="1"/>
    </xf>
    <xf numFmtId="0" fontId="2" fillId="0" borderId="15" xfId="8" applyFont="1" applyBorder="1" applyAlignment="1" applyProtection="1">
      <alignment horizontal="left"/>
      <protection hidden="1"/>
    </xf>
    <xf numFmtId="0" fontId="2" fillId="0" borderId="1" xfId="8" applyFont="1" applyBorder="1" applyAlignment="1" applyProtection="1">
      <alignment horizontal="center"/>
      <protection hidden="1"/>
    </xf>
    <xf numFmtId="0" fontId="2" fillId="0" borderId="0" xfId="8" applyFont="1" applyBorder="1" applyAlignment="1" applyProtection="1">
      <alignment horizontal="left"/>
      <protection hidden="1"/>
    </xf>
    <xf numFmtId="0" fontId="2" fillId="0" borderId="18" xfId="8" applyFont="1" applyBorder="1" applyProtection="1">
      <protection hidden="1"/>
    </xf>
    <xf numFmtId="0" fontId="2" fillId="0" borderId="19" xfId="8" applyFont="1" applyBorder="1" applyAlignment="1" applyProtection="1">
      <alignment horizontal="center"/>
      <protection hidden="1"/>
    </xf>
    <xf numFmtId="0" fontId="2" fillId="0" borderId="0" xfId="8" applyFont="1" applyAlignment="1" applyProtection="1">
      <alignment horizontal="right"/>
      <protection hidden="1"/>
    </xf>
    <xf numFmtId="172" fontId="2" fillId="0" borderId="1" xfId="8" applyNumberFormat="1" applyFont="1" applyBorder="1" applyAlignment="1" applyProtection="1">
      <alignment horizontal="center"/>
      <protection hidden="1"/>
    </xf>
    <xf numFmtId="174" fontId="2" fillId="0" borderId="1" xfId="8" applyNumberFormat="1" applyFont="1" applyBorder="1" applyAlignment="1" applyProtection="1">
      <alignment horizontal="center"/>
      <protection hidden="1"/>
    </xf>
    <xf numFmtId="0" fontId="2" fillId="0" borderId="6" xfId="8" applyFont="1" applyBorder="1" applyAlignment="1" applyProtection="1">
      <alignment horizontal="center"/>
      <protection hidden="1"/>
    </xf>
    <xf numFmtId="0" fontId="2" fillId="0" borderId="20" xfId="8" applyFont="1" applyBorder="1" applyAlignment="1" applyProtection="1">
      <alignment horizontal="center"/>
      <protection hidden="1"/>
    </xf>
    <xf numFmtId="0" fontId="2" fillId="0" borderId="21" xfId="8" applyFont="1" applyBorder="1" applyAlignment="1" applyProtection="1">
      <alignment horizontal="center"/>
      <protection hidden="1"/>
    </xf>
    <xf numFmtId="172" fontId="2" fillId="0" borderId="6" xfId="8" applyNumberFormat="1" applyFont="1" applyBorder="1" applyAlignment="1" applyProtection="1">
      <alignment horizontal="center"/>
      <protection hidden="1"/>
    </xf>
    <xf numFmtId="174" fontId="2" fillId="0" borderId="6" xfId="8" applyNumberFormat="1" applyFont="1" applyBorder="1" applyAlignment="1" applyProtection="1">
      <alignment horizontal="center"/>
      <protection hidden="1"/>
    </xf>
    <xf numFmtId="0" fontId="2" fillId="0" borderId="22" xfId="8" applyFont="1" applyBorder="1" applyAlignment="1" applyProtection="1">
      <alignment horizontal="left"/>
      <protection hidden="1"/>
    </xf>
    <xf numFmtId="0" fontId="2" fillId="0" borderId="23" xfId="8" applyFont="1" applyBorder="1" applyAlignment="1" applyProtection="1">
      <alignment horizontal="center"/>
      <protection hidden="1"/>
    </xf>
    <xf numFmtId="0" fontId="2" fillId="0" borderId="24" xfId="8" applyFont="1" applyBorder="1" applyAlignment="1" applyProtection="1">
      <alignment horizontal="left"/>
      <protection hidden="1"/>
    </xf>
    <xf numFmtId="0" fontId="2" fillId="0" borderId="25" xfId="8" applyFont="1" applyBorder="1" applyAlignment="1" applyProtection="1">
      <alignment horizontal="center"/>
      <protection hidden="1"/>
    </xf>
    <xf numFmtId="0" fontId="2" fillId="0" borderId="26" xfId="8" applyFont="1" applyBorder="1" applyAlignment="1" applyProtection="1">
      <alignment horizontal="left"/>
      <protection hidden="1"/>
    </xf>
    <xf numFmtId="0" fontId="2" fillId="0" borderId="27" xfId="8" applyFont="1" applyBorder="1" applyAlignment="1" applyProtection="1">
      <alignment horizontal="center"/>
      <protection hidden="1"/>
    </xf>
    <xf numFmtId="0" fontId="2" fillId="0" borderId="2" xfId="8" applyFont="1" applyBorder="1" applyProtection="1">
      <protection hidden="1"/>
    </xf>
    <xf numFmtId="164" fontId="2" fillId="0" borderId="2" xfId="8" applyNumberFormat="1" applyFont="1" applyBorder="1" applyAlignment="1" applyProtection="1">
      <alignment horizontal="center"/>
      <protection hidden="1"/>
    </xf>
    <xf numFmtId="0" fontId="2" fillId="0" borderId="1" xfId="8" applyFont="1" applyBorder="1" applyProtection="1">
      <protection hidden="1"/>
    </xf>
    <xf numFmtId="164" fontId="2" fillId="0" borderId="1" xfId="8" applyNumberFormat="1" applyFont="1" applyBorder="1" applyAlignment="1" applyProtection="1">
      <alignment horizontal="center"/>
      <protection hidden="1"/>
    </xf>
    <xf numFmtId="0" fontId="2" fillId="0" borderId="22" xfId="8" applyFont="1" applyBorder="1" applyAlignment="1" applyProtection="1">
      <alignment horizontal="center"/>
      <protection hidden="1"/>
    </xf>
    <xf numFmtId="0" fontId="2" fillId="0" borderId="28" xfId="8" applyFont="1" applyBorder="1" applyAlignment="1" applyProtection="1">
      <alignment horizontal="center"/>
      <protection hidden="1"/>
    </xf>
    <xf numFmtId="0" fontId="2" fillId="0" borderId="29" xfId="8" applyFont="1" applyBorder="1" applyAlignment="1" applyProtection="1">
      <alignment horizontal="center"/>
      <protection hidden="1"/>
    </xf>
    <xf numFmtId="0" fontId="2" fillId="0" borderId="24" xfId="8" applyFont="1" applyBorder="1" applyAlignment="1" applyProtection="1">
      <alignment horizontal="center"/>
      <protection hidden="1"/>
    </xf>
    <xf numFmtId="0" fontId="2" fillId="3" borderId="0" xfId="8" applyFont="1" applyFill="1" applyAlignment="1" applyProtection="1">
      <alignment horizontal="center"/>
      <protection hidden="1"/>
    </xf>
    <xf numFmtId="0" fontId="2" fillId="0" borderId="6" xfId="8" applyFont="1" applyBorder="1" applyProtection="1">
      <protection hidden="1"/>
    </xf>
    <xf numFmtId="0" fontId="5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30" xfId="8" applyFont="1" applyBorder="1" applyAlignment="1" applyProtection="1">
      <alignment horizontal="center"/>
      <protection hidden="1"/>
    </xf>
    <xf numFmtId="0" fontId="2" fillId="0" borderId="14" xfId="8" applyFont="1" applyBorder="1" applyProtection="1">
      <protection hidden="1"/>
    </xf>
    <xf numFmtId="179" fontId="2" fillId="0" borderId="31" xfId="8" applyNumberFormat="1" applyFont="1" applyBorder="1"/>
    <xf numFmtId="0" fontId="2" fillId="0" borderId="3" xfId="8" applyFont="1" applyBorder="1"/>
    <xf numFmtId="0" fontId="2" fillId="0" borderId="3" xfId="8" applyFont="1" applyBorder="1" applyAlignment="1">
      <alignment horizontal="center"/>
    </xf>
    <xf numFmtId="172" fontId="2" fillId="0" borderId="3" xfId="8" applyNumberFormat="1" applyFont="1" applyBorder="1"/>
    <xf numFmtId="0" fontId="2" fillId="0" borderId="4" xfId="8" applyFont="1" applyBorder="1"/>
    <xf numFmtId="179" fontId="2" fillId="0" borderId="32" xfId="8" applyNumberFormat="1" applyFont="1" applyBorder="1"/>
    <xf numFmtId="0" fontId="2" fillId="0" borderId="0" xfId="8" applyFont="1" applyBorder="1"/>
    <xf numFmtId="0" fontId="2" fillId="0" borderId="0" xfId="8" applyFont="1" applyBorder="1" applyAlignment="1">
      <alignment horizontal="center"/>
    </xf>
    <xf numFmtId="172" fontId="2" fillId="0" borderId="0" xfId="8" applyNumberFormat="1" applyFont="1" applyBorder="1"/>
    <xf numFmtId="0" fontId="2" fillId="0" borderId="5" xfId="8" applyFont="1" applyBorder="1"/>
    <xf numFmtId="0" fontId="2" fillId="0" borderId="33" xfId="8" applyFont="1" applyBorder="1" applyAlignment="1" applyProtection="1">
      <alignment horizontal="center"/>
      <protection hidden="1"/>
    </xf>
    <xf numFmtId="0" fontId="2" fillId="0" borderId="34" xfId="8" applyFont="1" applyBorder="1" applyAlignment="1" applyProtection="1">
      <alignment horizontal="center"/>
      <protection hidden="1"/>
    </xf>
    <xf numFmtId="0" fontId="2" fillId="0" borderId="32" xfId="8" applyFont="1" applyBorder="1"/>
    <xf numFmtId="0" fontId="2" fillId="0" borderId="0" xfId="8" applyFont="1" applyBorder="1" applyAlignment="1"/>
    <xf numFmtId="0" fontId="2" fillId="0" borderId="32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35" xfId="8" applyFont="1" applyBorder="1" applyAlignment="1" applyProtection="1">
      <alignment horizontal="center"/>
      <protection hidden="1"/>
    </xf>
    <xf numFmtId="0" fontId="2" fillId="0" borderId="32" xfId="1" applyFont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0" fontId="2" fillId="0" borderId="5" xfId="1" applyFont="1" applyBorder="1" applyProtection="1">
      <protection hidden="1"/>
    </xf>
    <xf numFmtId="3" fontId="2" fillId="0" borderId="13" xfId="8" applyNumberFormat="1" applyFont="1" applyBorder="1" applyAlignment="1" applyProtection="1">
      <alignment horizontal="center"/>
      <protection hidden="1"/>
    </xf>
    <xf numFmtId="172" fontId="2" fillId="0" borderId="5" xfId="1" applyNumberFormat="1" applyFont="1" applyBorder="1" applyProtection="1">
      <protection hidden="1"/>
    </xf>
    <xf numFmtId="0" fontId="2" fillId="0" borderId="36" xfId="1" applyFont="1" applyBorder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2" fillId="0" borderId="7" xfId="1" applyFont="1" applyBorder="1" applyProtection="1">
      <protection hidden="1"/>
    </xf>
    <xf numFmtId="0" fontId="2" fillId="0" borderId="8" xfId="1" applyFont="1" applyBorder="1" applyProtection="1">
      <protection hidden="1"/>
    </xf>
    <xf numFmtId="0" fontId="2" fillId="0" borderId="37" xfId="1" applyFont="1" applyBorder="1" applyAlignment="1" applyProtection="1">
      <alignment horizontal="left"/>
      <protection hidden="1"/>
    </xf>
    <xf numFmtId="0" fontId="2" fillId="0" borderId="38" xfId="1" applyFont="1" applyBorder="1" applyAlignment="1" applyProtection="1">
      <alignment horizontal="center"/>
      <protection hidden="1"/>
    </xf>
    <xf numFmtId="0" fontId="2" fillId="0" borderId="38" xfId="1" applyFont="1" applyBorder="1" applyProtection="1">
      <protection hidden="1"/>
    </xf>
    <xf numFmtId="0" fontId="2" fillId="0" borderId="39" xfId="1" applyFont="1" applyBorder="1" applyProtection="1">
      <protection hidden="1"/>
    </xf>
    <xf numFmtId="172" fontId="2" fillId="0" borderId="2" xfId="8" applyNumberFormat="1" applyFont="1" applyBorder="1" applyAlignment="1" applyProtection="1">
      <alignment horizontal="center"/>
      <protection hidden="1"/>
    </xf>
    <xf numFmtId="3" fontId="2" fillId="0" borderId="16" xfId="8" applyNumberFormat="1" applyFont="1" applyBorder="1" applyAlignment="1" applyProtection="1">
      <alignment horizontal="center"/>
      <protection hidden="1"/>
    </xf>
    <xf numFmtId="0" fontId="2" fillId="0" borderId="28" xfId="8" applyFont="1" applyBorder="1" applyAlignment="1" applyProtection="1">
      <alignment horizontal="left"/>
      <protection hidden="1"/>
    </xf>
    <xf numFmtId="172" fontId="2" fillId="0" borderId="0" xfId="8" applyNumberFormat="1" applyFont="1" applyAlignment="1" applyProtection="1">
      <alignment horizontal="center"/>
      <protection hidden="1"/>
    </xf>
    <xf numFmtId="0" fontId="2" fillId="0" borderId="0" xfId="8" applyNumberFormat="1" applyFont="1" applyAlignment="1" applyProtection="1">
      <alignment horizontal="center"/>
      <protection hidden="1"/>
    </xf>
    <xf numFmtId="175" fontId="2" fillId="0" borderId="0" xfId="8" applyNumberFormat="1" applyFont="1" applyAlignment="1" applyProtection="1">
      <alignment horizontal="center"/>
      <protection hidden="1"/>
    </xf>
    <xf numFmtId="3" fontId="2" fillId="0" borderId="0" xfId="8" applyNumberFormat="1" applyFont="1" applyAlignment="1" applyProtection="1">
      <alignment horizontal="center"/>
      <protection hidden="1"/>
    </xf>
    <xf numFmtId="1" fontId="2" fillId="0" borderId="0" xfId="8" applyNumberFormat="1" applyFont="1" applyAlignment="1" applyProtection="1">
      <alignment horizontal="center"/>
      <protection hidden="1"/>
    </xf>
    <xf numFmtId="0" fontId="2" fillId="0" borderId="0" xfId="2" applyFont="1"/>
    <xf numFmtId="164" fontId="2" fillId="0" borderId="0" xfId="8" applyNumberFormat="1" applyFont="1" applyAlignment="1" applyProtection="1">
      <alignment horizontal="left"/>
      <protection hidden="1"/>
    </xf>
    <xf numFmtId="164" fontId="2" fillId="0" borderId="7" xfId="8" applyNumberFormat="1" applyFont="1" applyBorder="1" applyAlignment="1" applyProtection="1">
      <alignment horizontal="center"/>
      <protection hidden="1"/>
    </xf>
    <xf numFmtId="1" fontId="2" fillId="0" borderId="0" xfId="2" applyNumberFormat="1" applyFont="1"/>
    <xf numFmtId="0" fontId="2" fillId="0" borderId="0" xfId="2" quotePrefix="1" applyFont="1"/>
    <xf numFmtId="0" fontId="2" fillId="0" borderId="7" xfId="8" applyFont="1" applyBorder="1" applyAlignment="1" applyProtection="1">
      <alignment horizontal="center"/>
      <protection hidden="1"/>
    </xf>
    <xf numFmtId="175" fontId="2" fillId="0" borderId="0" xfId="2" applyNumberFormat="1" applyFont="1"/>
    <xf numFmtId="10" fontId="2" fillId="0" borderId="0" xfId="8" applyNumberFormat="1" applyFont="1" applyAlignment="1" applyProtection="1">
      <alignment horizontal="center"/>
      <protection hidden="1"/>
    </xf>
    <xf numFmtId="0" fontId="2" fillId="0" borderId="22" xfId="8" applyFont="1" applyBorder="1" applyAlignment="1" applyProtection="1">
      <alignment horizontal="right"/>
      <protection hidden="1"/>
    </xf>
    <xf numFmtId="164" fontId="2" fillId="0" borderId="23" xfId="8" applyNumberFormat="1" applyFont="1" applyBorder="1" applyAlignment="1" applyProtection="1">
      <alignment horizontal="center"/>
      <protection hidden="1"/>
    </xf>
    <xf numFmtId="0" fontId="2" fillId="0" borderId="28" xfId="8" applyFont="1" applyBorder="1" applyAlignment="1" applyProtection="1">
      <alignment horizontal="right"/>
      <protection hidden="1"/>
    </xf>
    <xf numFmtId="3" fontId="2" fillId="0" borderId="29" xfId="8" applyNumberFormat="1" applyFont="1" applyBorder="1" applyAlignment="1" applyProtection="1">
      <alignment horizontal="center"/>
      <protection hidden="1"/>
    </xf>
    <xf numFmtId="0" fontId="2" fillId="0" borderId="24" xfId="8" applyFont="1" applyBorder="1" applyAlignment="1" applyProtection="1">
      <alignment horizontal="right"/>
      <protection hidden="1"/>
    </xf>
    <xf numFmtId="10" fontId="2" fillId="0" borderId="25" xfId="8" applyNumberFormat="1" applyFont="1" applyBorder="1" applyAlignment="1" applyProtection="1">
      <alignment horizontal="center"/>
      <protection hidden="1"/>
    </xf>
    <xf numFmtId="49" fontId="2" fillId="0" borderId="0" xfId="2" applyNumberFormat="1" applyFont="1"/>
    <xf numFmtId="2" fontId="2" fillId="0" borderId="0" xfId="2" applyNumberFormat="1" applyFont="1"/>
    <xf numFmtId="164" fontId="2" fillId="0" borderId="0" xfId="2" applyNumberFormat="1" applyFont="1"/>
    <xf numFmtId="164" fontId="2" fillId="0" borderId="0" xfId="8" applyNumberFormat="1" applyFont="1" applyProtection="1">
      <protection hidden="1"/>
    </xf>
    <xf numFmtId="0" fontId="2" fillId="0" borderId="0" xfId="8" applyNumberFormat="1" applyFont="1" applyProtection="1">
      <protection hidden="1"/>
    </xf>
    <xf numFmtId="2" fontId="2" fillId="0" borderId="0" xfId="8" applyNumberFormat="1" applyFont="1" applyProtection="1">
      <protection hidden="1"/>
    </xf>
    <xf numFmtId="3" fontId="2" fillId="3" borderId="0" xfId="8" quotePrefix="1" applyNumberFormat="1" applyFont="1" applyFill="1" applyProtection="1">
      <protection hidden="1"/>
    </xf>
    <xf numFmtId="3" fontId="2" fillId="3" borderId="0" xfId="8" applyNumberFormat="1" applyFont="1" applyFill="1" applyProtection="1">
      <protection hidden="1"/>
    </xf>
    <xf numFmtId="0" fontId="2" fillId="3" borderId="0" xfId="8" applyFont="1" applyFill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6" fontId="2" fillId="0" borderId="0" xfId="0" applyNumberFormat="1" applyFont="1" applyProtection="1">
      <protection hidden="1"/>
    </xf>
    <xf numFmtId="3" fontId="2" fillId="3" borderId="13" xfId="8" applyNumberFormat="1" applyFont="1" applyFill="1" applyBorder="1" applyAlignment="1" applyProtection="1">
      <alignment horizontal="center"/>
      <protection hidden="1"/>
    </xf>
    <xf numFmtId="0" fontId="2" fillId="3" borderId="17" xfId="8" applyFont="1" applyFill="1" applyBorder="1" applyAlignment="1" applyProtection="1">
      <alignment horizontal="center"/>
      <protection hidden="1"/>
    </xf>
    <xf numFmtId="164" fontId="2" fillId="3" borderId="17" xfId="8" applyNumberFormat="1" applyFont="1" applyFill="1" applyBorder="1" applyAlignment="1" applyProtection="1">
      <alignment horizontal="center"/>
      <protection hidden="1"/>
    </xf>
    <xf numFmtId="170" fontId="2" fillId="3" borderId="0" xfId="8" applyNumberFormat="1" applyFont="1" applyFill="1" applyAlignment="1" applyProtection="1">
      <alignment horizontal="center"/>
      <protection hidden="1"/>
    </xf>
    <xf numFmtId="3" fontId="2" fillId="3" borderId="0" xfId="8" applyNumberFormat="1" applyFont="1" applyFill="1" applyBorder="1" applyAlignment="1" applyProtection="1">
      <alignment horizontal="center"/>
      <protection hidden="1"/>
    </xf>
    <xf numFmtId="0" fontId="2" fillId="3" borderId="0" xfId="8" applyFont="1" applyFill="1" applyBorder="1" applyAlignment="1" applyProtection="1">
      <alignment horizontal="center"/>
      <protection hidden="1"/>
    </xf>
    <xf numFmtId="3" fontId="2" fillId="3" borderId="0" xfId="8" applyNumberFormat="1" applyFont="1" applyFill="1" applyAlignment="1" applyProtection="1">
      <alignment horizontal="center"/>
      <protection hidden="1"/>
    </xf>
    <xf numFmtId="3" fontId="2" fillId="3" borderId="0" xfId="8" applyNumberFormat="1" applyFont="1" applyFill="1" applyAlignment="1" applyProtection="1">
      <alignment horizontal="left"/>
      <protection hidden="1"/>
    </xf>
    <xf numFmtId="0" fontId="2" fillId="3" borderId="0" xfId="8" applyFont="1" applyFill="1" applyAlignment="1" applyProtection="1">
      <alignment horizontal="left"/>
      <protection hidden="1"/>
    </xf>
    <xf numFmtId="176" fontId="2" fillId="3" borderId="17" xfId="8" applyNumberFormat="1" applyFont="1" applyFill="1" applyBorder="1" applyAlignment="1" applyProtection="1">
      <alignment horizontal="center"/>
      <protection hidden="1"/>
    </xf>
    <xf numFmtId="170" fontId="2" fillId="3" borderId="17" xfId="8" applyNumberFormat="1" applyFont="1" applyFill="1" applyBorder="1" applyAlignment="1" applyProtection="1">
      <alignment horizontal="center"/>
      <protection hidden="1"/>
    </xf>
    <xf numFmtId="3" fontId="2" fillId="3" borderId="17" xfId="8" applyNumberFormat="1" applyFont="1" applyFill="1" applyBorder="1" applyAlignment="1" applyProtection="1">
      <alignment horizontal="center"/>
      <protection hidden="1"/>
    </xf>
    <xf numFmtId="164" fontId="2" fillId="3" borderId="0" xfId="8" applyNumberFormat="1" applyFont="1" applyFill="1" applyAlignment="1" applyProtection="1">
      <alignment horizontal="center"/>
      <protection hidden="1"/>
    </xf>
    <xf numFmtId="176" fontId="2" fillId="3" borderId="0" xfId="8" applyNumberFormat="1" applyFont="1" applyFill="1" applyAlignment="1" applyProtection="1">
      <alignment horizontal="center"/>
      <protection hidden="1"/>
    </xf>
    <xf numFmtId="1" fontId="2" fillId="3" borderId="0" xfId="8" applyNumberFormat="1" applyFont="1" applyFill="1" applyAlignment="1" applyProtection="1">
      <alignment horizontal="center"/>
      <protection hidden="1"/>
    </xf>
    <xf numFmtId="0" fontId="2" fillId="3" borderId="0" xfId="2" applyFont="1" applyFill="1"/>
    <xf numFmtId="1" fontId="2" fillId="3" borderId="0" xfId="8" applyNumberFormat="1" applyFont="1" applyFill="1" applyProtection="1">
      <protection hidden="1"/>
    </xf>
    <xf numFmtId="0" fontId="2" fillId="0" borderId="0" xfId="5" applyFont="1"/>
    <xf numFmtId="0" fontId="2" fillId="0" borderId="0" xfId="5" applyFont="1" applyAlignment="1">
      <alignment horizontal="center"/>
    </xf>
    <xf numFmtId="0" fontId="2" fillId="0" borderId="0" xfId="5" applyFont="1" applyBorder="1"/>
    <xf numFmtId="0" fontId="2" fillId="0" borderId="0" xfId="5" applyFont="1" applyBorder="1" applyAlignment="1">
      <alignment horizontal="center"/>
    </xf>
    <xf numFmtId="0" fontId="2" fillId="0" borderId="0" xfId="5" applyFont="1" applyBorder="1" applyAlignment="1" applyProtection="1">
      <alignment horizontal="center"/>
      <protection hidden="1"/>
    </xf>
    <xf numFmtId="0" fontId="2" fillId="0" borderId="31" xfId="5" applyFont="1" applyBorder="1"/>
    <xf numFmtId="0" fontId="2" fillId="0" borderId="3" xfId="5" applyFont="1" applyBorder="1"/>
    <xf numFmtId="0" fontId="2" fillId="0" borderId="4" xfId="5" applyFont="1" applyBorder="1"/>
    <xf numFmtId="0" fontId="2" fillId="0" borderId="0" xfId="5" applyFont="1" applyAlignment="1" applyProtection="1">
      <alignment horizontal="left"/>
      <protection hidden="1"/>
    </xf>
    <xf numFmtId="0" fontId="2" fillId="0" borderId="0" xfId="5" applyFont="1" applyProtection="1">
      <protection hidden="1"/>
    </xf>
    <xf numFmtId="0" fontId="2" fillId="2" borderId="0" xfId="5" applyFont="1" applyFill="1" applyBorder="1" applyAlignment="1">
      <alignment horizontal="center"/>
    </xf>
    <xf numFmtId="0" fontId="2" fillId="0" borderId="32" xfId="5" applyFont="1" applyBorder="1"/>
    <xf numFmtId="0" fontId="2" fillId="0" borderId="2" xfId="5" applyFont="1" applyBorder="1"/>
    <xf numFmtId="0" fontId="2" fillId="0" borderId="2" xfId="5" applyFont="1" applyBorder="1" applyAlignment="1" applyProtection="1">
      <alignment horizontal="center"/>
      <protection hidden="1"/>
    </xf>
    <xf numFmtId="0" fontId="2" fillId="0" borderId="2" xfId="5" applyFont="1" applyBorder="1" applyAlignment="1">
      <alignment horizontal="center"/>
    </xf>
    <xf numFmtId="0" fontId="2" fillId="0" borderId="5" xfId="5" applyFont="1" applyBorder="1"/>
    <xf numFmtId="0" fontId="2" fillId="0" borderId="1" xfId="5" applyFont="1" applyBorder="1"/>
    <xf numFmtId="0" fontId="2" fillId="0" borderId="1" xfId="5" applyFont="1" applyBorder="1" applyAlignment="1" applyProtection="1">
      <alignment horizontal="center"/>
      <protection hidden="1"/>
    </xf>
    <xf numFmtId="3" fontId="2" fillId="2" borderId="0" xfId="5" applyNumberFormat="1" applyFont="1" applyFill="1" applyBorder="1" applyAlignment="1">
      <alignment horizontal="center"/>
    </xf>
    <xf numFmtId="0" fontId="2" fillId="0" borderId="6" xfId="5" applyFont="1" applyBorder="1"/>
    <xf numFmtId="0" fontId="2" fillId="0" borderId="6" xfId="5" applyFont="1" applyBorder="1" applyAlignment="1" applyProtection="1">
      <alignment horizontal="center"/>
      <protection hidden="1"/>
    </xf>
    <xf numFmtId="3" fontId="2" fillId="2" borderId="0" xfId="5" applyNumberFormat="1" applyFont="1" applyFill="1" applyAlignment="1">
      <alignment horizontal="center"/>
    </xf>
    <xf numFmtId="49" fontId="2" fillId="0" borderId="2" xfId="5" applyNumberFormat="1" applyFont="1" applyBorder="1"/>
    <xf numFmtId="172" fontId="2" fillId="0" borderId="5" xfId="5" applyNumberFormat="1" applyFont="1" applyBorder="1"/>
    <xf numFmtId="0" fontId="2" fillId="2" borderId="0" xfId="5" applyFont="1" applyFill="1" applyAlignment="1">
      <alignment horizontal="center"/>
    </xf>
    <xf numFmtId="49" fontId="2" fillId="0" borderId="1" xfId="5" applyNumberFormat="1" applyFont="1" applyBorder="1"/>
    <xf numFmtId="0" fontId="2" fillId="0" borderId="1" xfId="5" applyFont="1" applyBorder="1" applyAlignment="1">
      <alignment horizontal="center"/>
    </xf>
    <xf numFmtId="49" fontId="2" fillId="0" borderId="6" xfId="5" applyNumberFormat="1" applyFont="1" applyBorder="1"/>
    <xf numFmtId="0" fontId="2" fillId="0" borderId="6" xfId="5" applyFont="1" applyBorder="1" applyAlignment="1">
      <alignment horizontal="center"/>
    </xf>
    <xf numFmtId="0" fontId="2" fillId="0" borderId="6" xfId="5" applyFont="1" applyBorder="1" applyAlignment="1">
      <alignment horizontal="right"/>
    </xf>
    <xf numFmtId="0" fontId="2" fillId="3" borderId="0" xfId="5" applyFont="1" applyFill="1"/>
    <xf numFmtId="0" fontId="2" fillId="3" borderId="0" xfId="5" applyFont="1" applyFill="1" applyAlignment="1">
      <alignment horizontal="center"/>
    </xf>
    <xf numFmtId="49" fontId="2" fillId="0" borderId="0" xfId="5" applyNumberFormat="1" applyFont="1" applyBorder="1"/>
    <xf numFmtId="49" fontId="2" fillId="0" borderId="0" xfId="5" applyNumberFormat="1" applyFont="1"/>
    <xf numFmtId="0" fontId="2" fillId="0" borderId="0" xfId="5" applyFont="1" applyAlignment="1">
      <alignment horizontal="left"/>
    </xf>
    <xf numFmtId="0" fontId="2" fillId="0" borderId="36" xfId="5" applyFont="1" applyBorder="1"/>
    <xf numFmtId="0" fontId="2" fillId="0" borderId="7" xfId="5" applyFont="1" applyBorder="1"/>
    <xf numFmtId="0" fontId="2" fillId="0" borderId="8" xfId="5" applyFont="1" applyBorder="1"/>
    <xf numFmtId="0" fontId="2" fillId="3" borderId="0" xfId="5" applyFont="1" applyFill="1" applyAlignment="1">
      <alignment horizontal="left"/>
    </xf>
    <xf numFmtId="0" fontId="2" fillId="0" borderId="2" xfId="6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6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" xfId="6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0" xfId="9" applyFont="1" applyProtection="1">
      <protection hidden="1"/>
    </xf>
    <xf numFmtId="0" fontId="2" fillId="0" borderId="0" xfId="9" applyFont="1" applyAlignment="1" applyProtection="1">
      <alignment horizontal="left"/>
      <protection hidden="1"/>
    </xf>
    <xf numFmtId="0" fontId="2" fillId="0" borderId="0" xfId="9" applyFont="1" applyAlignment="1" applyProtection="1">
      <alignment horizontal="center"/>
      <protection hidden="1"/>
    </xf>
    <xf numFmtId="0" fontId="2" fillId="0" borderId="0" xfId="9" applyFont="1" applyAlignment="1" applyProtection="1">
      <protection hidden="1"/>
    </xf>
    <xf numFmtId="0" fontId="2" fillId="0" borderId="0" xfId="4" applyFont="1"/>
    <xf numFmtId="1" fontId="2" fillId="0" borderId="0" xfId="9" applyNumberFormat="1" applyFont="1" applyBorder="1" applyAlignment="1" applyProtection="1">
      <alignment horizontal="left"/>
      <protection hidden="1"/>
    </xf>
    <xf numFmtId="4" fontId="2" fillId="0" borderId="0" xfId="9" applyNumberFormat="1" applyFont="1" applyAlignment="1" applyProtection="1">
      <alignment horizontal="center"/>
      <protection hidden="1"/>
    </xf>
    <xf numFmtId="3" fontId="2" fillId="0" borderId="0" xfId="9" applyNumberFormat="1" applyFont="1" applyAlignment="1" applyProtection="1">
      <alignment horizontal="center"/>
      <protection hidden="1"/>
    </xf>
    <xf numFmtId="0" fontId="2" fillId="0" borderId="0" xfId="9" applyFont="1" applyBorder="1" applyAlignment="1" applyProtection="1">
      <alignment horizontal="left"/>
      <protection hidden="1"/>
    </xf>
    <xf numFmtId="0" fontId="2" fillId="0" borderId="0" xfId="9" applyFont="1" applyBorder="1" applyAlignment="1" applyProtection="1">
      <protection hidden="1"/>
    </xf>
    <xf numFmtId="0" fontId="2" fillId="0" borderId="0" xfId="9" applyFont="1" applyBorder="1" applyAlignment="1" applyProtection="1">
      <alignment horizontal="center"/>
      <protection hidden="1"/>
    </xf>
    <xf numFmtId="1" fontId="2" fillId="0" borderId="0" xfId="9" applyNumberFormat="1" applyFont="1" applyBorder="1" applyAlignment="1" applyProtection="1">
      <alignment horizontal="center"/>
      <protection hidden="1"/>
    </xf>
    <xf numFmtId="184" fontId="2" fillId="0" borderId="0" xfId="9" applyNumberFormat="1" applyFont="1" applyBorder="1" applyAlignment="1" applyProtection="1">
      <protection hidden="1"/>
    </xf>
    <xf numFmtId="3" fontId="2" fillId="0" borderId="0" xfId="9" applyNumberFormat="1" applyFont="1" applyBorder="1" applyAlignment="1" applyProtection="1">
      <alignment horizontal="center"/>
      <protection hidden="1"/>
    </xf>
    <xf numFmtId="200" fontId="2" fillId="0" borderId="0" xfId="9" applyNumberFormat="1" applyFont="1" applyBorder="1" applyAlignment="1" applyProtection="1">
      <alignment horizontal="center"/>
      <protection hidden="1"/>
    </xf>
    <xf numFmtId="182" fontId="2" fillId="0" borderId="0" xfId="9" applyNumberFormat="1" applyFont="1" applyBorder="1" applyAlignment="1" applyProtection="1">
      <alignment horizontal="center"/>
      <protection hidden="1"/>
    </xf>
    <xf numFmtId="0" fontId="2" fillId="0" borderId="32" xfId="4" applyFont="1" applyBorder="1"/>
    <xf numFmtId="0" fontId="2" fillId="5" borderId="0" xfId="4" applyFont="1" applyFill="1"/>
    <xf numFmtId="0" fontId="2" fillId="0" borderId="0" xfId="4" quotePrefix="1" applyFont="1"/>
    <xf numFmtId="1" fontId="2" fillId="0" borderId="0" xfId="4" applyNumberFormat="1" applyFont="1"/>
    <xf numFmtId="12" fontId="2" fillId="5" borderId="0" xfId="4" applyNumberFormat="1" applyFont="1" applyFill="1"/>
    <xf numFmtId="1" fontId="2" fillId="5" borderId="0" xfId="4" applyNumberFormat="1" applyFont="1" applyFill="1"/>
    <xf numFmtId="3" fontId="2" fillId="5" borderId="0" xfId="4" applyNumberFormat="1" applyFont="1" applyFill="1"/>
    <xf numFmtId="3" fontId="2" fillId="0" borderId="0" xfId="4" applyNumberFormat="1" applyFont="1"/>
    <xf numFmtId="0" fontId="2" fillId="0" borderId="0" xfId="9" applyFont="1" applyBorder="1" applyProtection="1">
      <protection hidden="1"/>
    </xf>
    <xf numFmtId="183" fontId="2" fillId="0" borderId="0" xfId="9" applyNumberFormat="1" applyFont="1" applyBorder="1" applyAlignment="1" applyProtection="1">
      <alignment horizontal="center"/>
      <protection hidden="1"/>
    </xf>
    <xf numFmtId="185" fontId="2" fillId="0" borderId="0" xfId="9" applyNumberFormat="1" applyFont="1" applyBorder="1" applyAlignment="1" applyProtection="1">
      <alignment horizontal="center"/>
      <protection hidden="1"/>
    </xf>
    <xf numFmtId="198" fontId="2" fillId="0" borderId="0" xfId="9" applyNumberFormat="1" applyFont="1" applyBorder="1" applyAlignment="1" applyProtection="1">
      <alignment horizontal="center"/>
      <protection hidden="1"/>
    </xf>
    <xf numFmtId="186" fontId="2" fillId="0" borderId="0" xfId="9" applyNumberFormat="1" applyFont="1" applyBorder="1" applyAlignment="1" applyProtection="1">
      <alignment horizontal="center"/>
      <protection hidden="1"/>
    </xf>
    <xf numFmtId="187" fontId="2" fillId="0" borderId="0" xfId="9" applyNumberFormat="1" applyFont="1" applyAlignment="1" applyProtection="1">
      <alignment horizontal="center"/>
      <protection hidden="1"/>
    </xf>
    <xf numFmtId="174" fontId="2" fillId="0" borderId="0" xfId="9" applyNumberFormat="1" applyFont="1" applyAlignment="1" applyProtection="1">
      <alignment horizontal="center"/>
      <protection hidden="1"/>
    </xf>
    <xf numFmtId="188" fontId="2" fillId="0" borderId="0" xfId="9" applyNumberFormat="1" applyFont="1" applyProtection="1">
      <protection hidden="1"/>
    </xf>
    <xf numFmtId="197" fontId="2" fillId="0" borderId="0" xfId="9" applyNumberFormat="1" applyFont="1" applyBorder="1" applyAlignment="1" applyProtection="1">
      <alignment horizontal="center"/>
      <protection hidden="1"/>
    </xf>
    <xf numFmtId="1" fontId="2" fillId="0" borderId="0" xfId="9" applyNumberFormat="1" applyFont="1" applyAlignment="1" applyProtection="1">
      <alignment horizontal="center"/>
      <protection hidden="1"/>
    </xf>
    <xf numFmtId="189" fontId="2" fillId="0" borderId="0" xfId="9" applyNumberFormat="1" applyFont="1" applyAlignment="1" applyProtection="1">
      <alignment horizontal="center"/>
      <protection hidden="1"/>
    </xf>
    <xf numFmtId="190" fontId="2" fillId="0" borderId="0" xfId="9" applyNumberFormat="1" applyFont="1" applyAlignment="1" applyProtection="1">
      <alignment horizontal="center"/>
      <protection hidden="1"/>
    </xf>
    <xf numFmtId="191" fontId="2" fillId="0" borderId="0" xfId="9" applyNumberFormat="1" applyFont="1" applyProtection="1">
      <protection hidden="1"/>
    </xf>
    <xf numFmtId="195" fontId="2" fillId="0" borderId="0" xfId="9" applyNumberFormat="1" applyFont="1" applyAlignment="1" applyProtection="1">
      <alignment horizontal="right"/>
      <protection hidden="1"/>
    </xf>
    <xf numFmtId="3" fontId="2" fillId="0" borderId="0" xfId="9" applyNumberFormat="1" applyFont="1" applyProtection="1">
      <protection hidden="1"/>
    </xf>
    <xf numFmtId="164" fontId="2" fillId="0" borderId="0" xfId="9" applyNumberFormat="1" applyFont="1" applyBorder="1" applyAlignment="1" applyProtection="1">
      <alignment horizontal="center"/>
      <protection hidden="1"/>
    </xf>
    <xf numFmtId="192" fontId="2" fillId="0" borderId="0" xfId="9" applyNumberFormat="1" applyFont="1" applyAlignment="1" applyProtection="1">
      <alignment horizontal="center"/>
      <protection hidden="1"/>
    </xf>
    <xf numFmtId="194" fontId="2" fillId="0" borderId="0" xfId="9" applyNumberFormat="1" applyFont="1" applyAlignment="1" applyProtection="1">
      <alignment horizontal="center"/>
      <protection hidden="1"/>
    </xf>
    <xf numFmtId="193" fontId="2" fillId="0" borderId="0" xfId="9" applyNumberFormat="1" applyFont="1" applyAlignment="1" applyProtection="1">
      <alignment horizontal="center"/>
      <protection hidden="1"/>
    </xf>
    <xf numFmtId="0" fontId="2" fillId="0" borderId="0" xfId="5" applyFont="1" applyAlignment="1" applyProtection="1">
      <alignment horizontal="right"/>
      <protection hidden="1"/>
    </xf>
    <xf numFmtId="164" fontId="2" fillId="0" borderId="0" xfId="9" applyNumberFormat="1" applyFont="1" applyBorder="1" applyAlignment="1" applyProtection="1">
      <alignment horizontal="left"/>
      <protection hidden="1"/>
    </xf>
    <xf numFmtId="2" fontId="2" fillId="0" borderId="0" xfId="9" applyNumberFormat="1" applyFont="1" applyBorder="1" applyAlignment="1" applyProtection="1">
      <alignment horizontal="center"/>
      <protection hidden="1"/>
    </xf>
    <xf numFmtId="196" fontId="2" fillId="0" borderId="0" xfId="9" applyNumberFormat="1" applyFont="1" applyAlignment="1" applyProtection="1">
      <alignment horizontal="left"/>
      <protection hidden="1"/>
    </xf>
    <xf numFmtId="199" fontId="2" fillId="0" borderId="0" xfId="9" applyNumberFormat="1" applyFont="1" applyAlignment="1" applyProtection="1">
      <alignment horizontal="left"/>
      <protection hidden="1"/>
    </xf>
    <xf numFmtId="0" fontId="2" fillId="0" borderId="0" xfId="9" applyFont="1" applyAlignment="1" applyProtection="1">
      <alignment horizontal="right"/>
      <protection hidden="1"/>
    </xf>
    <xf numFmtId="3" fontId="2" fillId="3" borderId="0" xfId="9" applyNumberFormat="1" applyFont="1" applyFill="1" applyAlignment="1" applyProtection="1">
      <alignment horizontal="center"/>
      <protection hidden="1"/>
    </xf>
    <xf numFmtId="164" fontId="2" fillId="3" borderId="0" xfId="9" applyNumberFormat="1" applyFont="1" applyFill="1" applyAlignment="1" applyProtection="1">
      <alignment horizontal="center"/>
      <protection hidden="1"/>
    </xf>
    <xf numFmtId="174" fontId="2" fillId="3" borderId="0" xfId="9" applyNumberFormat="1" applyFont="1" applyFill="1" applyBorder="1" applyAlignment="1" applyProtection="1">
      <alignment horizontal="center"/>
      <protection hidden="1"/>
    </xf>
    <xf numFmtId="1" fontId="2" fillId="3" borderId="0" xfId="9" applyNumberFormat="1" applyFont="1" applyFill="1" applyBorder="1" applyAlignment="1" applyProtection="1">
      <alignment horizontal="center"/>
      <protection hidden="1"/>
    </xf>
    <xf numFmtId="1" fontId="2" fillId="3" borderId="0" xfId="9" applyNumberFormat="1" applyFont="1" applyFill="1" applyAlignment="1" applyProtection="1">
      <alignment horizontal="center"/>
      <protection hidden="1"/>
    </xf>
    <xf numFmtId="0" fontId="2" fillId="3" borderId="0" xfId="9" applyFont="1" applyFill="1" applyProtection="1">
      <protection hidden="1"/>
    </xf>
    <xf numFmtId="0" fontId="2" fillId="3" borderId="0" xfId="4" applyFont="1" applyFill="1"/>
    <xf numFmtId="3" fontId="2" fillId="3" borderId="0" xfId="9" applyNumberFormat="1" applyFont="1" applyFill="1" applyProtection="1">
      <protection hidden="1"/>
    </xf>
    <xf numFmtId="3" fontId="2" fillId="6" borderId="0" xfId="0" applyNumberFormat="1" applyFont="1" applyFill="1" applyBorder="1" applyAlignment="1" applyProtection="1">
      <alignment horizontal="center"/>
      <protection hidden="1"/>
    </xf>
    <xf numFmtId="0" fontId="2" fillId="5" borderId="0" xfId="0" applyFont="1" applyFill="1"/>
    <xf numFmtId="0" fontId="2" fillId="6" borderId="0" xfId="0" applyFont="1" applyFill="1" applyProtection="1">
      <protection hidden="1"/>
    </xf>
    <xf numFmtId="0" fontId="2" fillId="6" borderId="31" xfId="0" applyFont="1" applyFill="1" applyBorder="1" applyProtection="1">
      <protection hidden="1"/>
    </xf>
    <xf numFmtId="0" fontId="2" fillId="6" borderId="3" xfId="0" applyFont="1" applyFill="1" applyBorder="1" applyProtection="1">
      <protection hidden="1"/>
    </xf>
    <xf numFmtId="0" fontId="2" fillId="6" borderId="4" xfId="0" applyFont="1" applyFill="1" applyBorder="1" applyProtection="1">
      <protection hidden="1"/>
    </xf>
    <xf numFmtId="0" fontId="2" fillId="6" borderId="0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3" fontId="2" fillId="3" borderId="0" xfId="0" applyNumberFormat="1" applyFont="1" applyFill="1" applyProtection="1">
      <protection hidden="1"/>
    </xf>
    <xf numFmtId="0" fontId="2" fillId="6" borderId="32" xfId="0" applyFont="1" applyFill="1" applyBorder="1" applyProtection="1">
      <protection hidden="1"/>
    </xf>
    <xf numFmtId="0" fontId="2" fillId="6" borderId="5" xfId="0" applyFont="1" applyFill="1" applyBorder="1" applyProtection="1">
      <protection hidden="1"/>
    </xf>
    <xf numFmtId="3" fontId="2" fillId="2" borderId="0" xfId="0" applyNumberFormat="1" applyFont="1" applyFill="1" applyProtection="1">
      <protection hidden="1"/>
    </xf>
    <xf numFmtId="0" fontId="2" fillId="6" borderId="36" xfId="0" applyFont="1" applyFill="1" applyBorder="1" applyProtection="1">
      <protection hidden="1"/>
    </xf>
    <xf numFmtId="0" fontId="2" fillId="6" borderId="7" xfId="0" applyFont="1" applyFill="1" applyBorder="1" applyProtection="1">
      <protection hidden="1"/>
    </xf>
    <xf numFmtId="0" fontId="3" fillId="6" borderId="7" xfId="0" applyFont="1" applyFill="1" applyBorder="1" applyProtection="1">
      <protection hidden="1"/>
    </xf>
    <xf numFmtId="0" fontId="2" fillId="6" borderId="8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1" fontId="2" fillId="0" borderId="0" xfId="0" applyNumberFormat="1" applyFont="1" applyProtection="1">
      <protection hidden="1"/>
    </xf>
    <xf numFmtId="0" fontId="3" fillId="6" borderId="3" xfId="0" applyFont="1" applyFill="1" applyBorder="1" applyProtection="1">
      <protection hidden="1"/>
    </xf>
    <xf numFmtId="0" fontId="2" fillId="6" borderId="7" xfId="0" applyFont="1" applyFill="1" applyBorder="1" applyAlignment="1" applyProtection="1">
      <alignment horizontal="center"/>
      <protection hidden="1"/>
    </xf>
    <xf numFmtId="0" fontId="2" fillId="6" borderId="0" xfId="0" applyFont="1" applyFill="1" applyBorder="1" applyAlignment="1" applyProtection="1">
      <alignment horizontal="center"/>
      <protection hidden="1"/>
    </xf>
    <xf numFmtId="0" fontId="2" fillId="6" borderId="3" xfId="0" applyFont="1" applyFill="1" applyBorder="1" applyAlignment="1" applyProtection="1">
      <alignment horizontal="center"/>
      <protection hidden="1"/>
    </xf>
    <xf numFmtId="3" fontId="2" fillId="0" borderId="0" xfId="0" applyNumberFormat="1" applyFont="1" applyProtection="1">
      <protection hidden="1"/>
    </xf>
    <xf numFmtId="0" fontId="3" fillId="6" borderId="0" xfId="0" applyFont="1" applyFill="1" applyBorder="1" applyAlignment="1" applyProtection="1">
      <alignment horizontal="center"/>
      <protection hidden="1"/>
    </xf>
    <xf numFmtId="0" fontId="3" fillId="6" borderId="3" xfId="0" applyFont="1" applyFill="1" applyBorder="1" applyAlignment="1" applyProtection="1">
      <alignment horizontal="center"/>
      <protection hidden="1"/>
    </xf>
    <xf numFmtId="176" fontId="2" fillId="0" borderId="0" xfId="0" applyNumberFormat="1" applyFont="1" applyProtection="1">
      <protection hidden="1"/>
    </xf>
    <xf numFmtId="0" fontId="2" fillId="0" borderId="0" xfId="0" quotePrefix="1" applyFont="1" applyProtection="1">
      <protection hidden="1"/>
    </xf>
    <xf numFmtId="0" fontId="3" fillId="7" borderId="0" xfId="0" applyFont="1" applyFill="1" applyBorder="1" applyProtection="1">
      <protection locked="0"/>
    </xf>
    <xf numFmtId="0" fontId="3" fillId="7" borderId="0" xfId="0" applyFont="1" applyFill="1" applyBorder="1" applyAlignment="1" applyProtection="1">
      <alignment horizontal="center"/>
      <protection locked="0"/>
    </xf>
    <xf numFmtId="176" fontId="3" fillId="7" borderId="0" xfId="0" applyNumberFormat="1" applyFont="1" applyFill="1" applyBorder="1" applyAlignment="1" applyProtection="1">
      <alignment horizontal="center"/>
      <protection locked="0"/>
    </xf>
    <xf numFmtId="171" fontId="3" fillId="7" borderId="0" xfId="0" applyNumberFormat="1" applyFont="1" applyFill="1" applyBorder="1" applyAlignment="1" applyProtection="1">
      <alignment horizontal="center"/>
      <protection locked="0"/>
    </xf>
    <xf numFmtId="0" fontId="3" fillId="7" borderId="0" xfId="0" applyFont="1" applyFill="1" applyProtection="1">
      <protection locked="0"/>
    </xf>
    <xf numFmtId="3" fontId="3" fillId="7" borderId="0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Protection="1">
      <protection hidden="1"/>
    </xf>
    <xf numFmtId="177" fontId="2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0" applyFont="1" applyFill="1" applyAlignment="1" applyProtection="1">
      <alignment horizontal="right"/>
      <protection hidden="1"/>
    </xf>
    <xf numFmtId="177" fontId="2" fillId="0" borderId="0" xfId="0" applyNumberFormat="1" applyFont="1" applyFill="1" applyProtection="1">
      <protection hidden="1"/>
    </xf>
    <xf numFmtId="177" fontId="2" fillId="0" borderId="3" xfId="0" applyNumberFormat="1" applyFont="1" applyBorder="1" applyProtection="1">
      <protection hidden="1"/>
    </xf>
    <xf numFmtId="3" fontId="2" fillId="0" borderId="0" xfId="0" applyNumberFormat="1" applyFont="1" applyAlignment="1" applyProtection="1">
      <alignment horizontal="left"/>
      <protection hidden="1"/>
    </xf>
    <xf numFmtId="2" fontId="2" fillId="0" borderId="0" xfId="0" applyNumberFormat="1" applyFont="1" applyProtection="1">
      <protection hidden="1"/>
    </xf>
    <xf numFmtId="0" fontId="2" fillId="4" borderId="0" xfId="0" applyFont="1" applyFill="1" applyProtection="1">
      <protection hidden="1"/>
    </xf>
    <xf numFmtId="178" fontId="2" fillId="0" borderId="0" xfId="0" applyNumberFormat="1" applyFont="1" applyProtection="1">
      <protection hidden="1"/>
    </xf>
    <xf numFmtId="0" fontId="2" fillId="0" borderId="0" xfId="0" applyFont="1" applyBorder="1" applyProtection="1">
      <protection hidden="1"/>
    </xf>
    <xf numFmtId="178" fontId="2" fillId="0" borderId="3" xfId="0" applyNumberFormat="1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NumberFormat="1" applyFont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Protection="1"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3" fontId="2" fillId="0" borderId="0" xfId="0" applyNumberFormat="1" applyFont="1" applyBorder="1" applyAlignment="1" applyProtection="1">
      <alignment horizontal="left"/>
      <protection hidden="1"/>
    </xf>
    <xf numFmtId="10" fontId="2" fillId="0" borderId="0" xfId="0" applyNumberFormat="1" applyFont="1" applyProtection="1">
      <protection hidden="1"/>
    </xf>
    <xf numFmtId="0" fontId="2" fillId="6" borderId="0" xfId="0" applyFont="1" applyFill="1" applyBorder="1" applyAlignment="1" applyProtection="1">
      <alignment horizontal="left"/>
      <protection hidden="1"/>
    </xf>
    <xf numFmtId="1" fontId="3" fillId="7" borderId="0" xfId="0" applyNumberFormat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hidden="1"/>
    </xf>
    <xf numFmtId="0" fontId="2" fillId="0" borderId="0" xfId="0" applyFont="1" applyFill="1" applyProtection="1">
      <protection hidden="1"/>
    </xf>
    <xf numFmtId="1" fontId="2" fillId="2" borderId="0" xfId="0" applyNumberFormat="1" applyFont="1" applyFill="1" applyProtection="1">
      <protection hidden="1"/>
    </xf>
    <xf numFmtId="0" fontId="2" fillId="0" borderId="0" xfId="0" quotePrefix="1" applyFont="1" applyFill="1" applyAlignment="1" applyProtection="1">
      <alignment horizontal="right"/>
      <protection hidden="1"/>
    </xf>
    <xf numFmtId="0" fontId="2" fillId="0" borderId="40" xfId="0" applyFont="1" applyFill="1" applyBorder="1" applyProtection="1">
      <protection hidden="1"/>
    </xf>
    <xf numFmtId="0" fontId="2" fillId="0" borderId="41" xfId="0" applyFont="1" applyFill="1" applyBorder="1" applyProtection="1">
      <protection hidden="1"/>
    </xf>
    <xf numFmtId="0" fontId="2" fillId="0" borderId="42" xfId="0" applyFont="1" applyFill="1" applyBorder="1" applyProtection="1">
      <protection hidden="1"/>
    </xf>
    <xf numFmtId="0" fontId="2" fillId="0" borderId="43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44" xfId="0" applyFont="1" applyFill="1" applyBorder="1" applyProtection="1">
      <protection hidden="1"/>
    </xf>
    <xf numFmtId="0" fontId="2" fillId="0" borderId="5" xfId="0" applyFont="1" applyFill="1" applyBorder="1" applyProtection="1">
      <protection hidden="1"/>
    </xf>
    <xf numFmtId="0" fontId="2" fillId="0" borderId="31" xfId="0" applyFont="1" applyFill="1" applyBorder="1" applyProtection="1">
      <protection hidden="1"/>
    </xf>
    <xf numFmtId="0" fontId="2" fillId="0" borderId="3" xfId="0" applyFont="1" applyFill="1" applyBorder="1" applyProtection="1">
      <protection hidden="1"/>
    </xf>
    <xf numFmtId="0" fontId="2" fillId="0" borderId="37" xfId="0" applyFont="1" applyFill="1" applyBorder="1" applyProtection="1">
      <protection hidden="1"/>
    </xf>
    <xf numFmtId="0" fontId="2" fillId="0" borderId="4" xfId="0" applyFont="1" applyFill="1" applyBorder="1" applyProtection="1">
      <protection hidden="1"/>
    </xf>
    <xf numFmtId="0" fontId="2" fillId="0" borderId="36" xfId="0" applyFont="1" applyFill="1" applyBorder="1" applyProtection="1">
      <protection hidden="1"/>
    </xf>
    <xf numFmtId="0" fontId="2" fillId="0" borderId="5" xfId="0" applyFont="1" applyFill="1" applyBorder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7" xfId="0" applyFont="1" applyFill="1" applyBorder="1" applyProtection="1">
      <protection hidden="1"/>
    </xf>
    <xf numFmtId="0" fontId="2" fillId="0" borderId="8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32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2" fillId="0" borderId="45" xfId="0" applyFont="1" applyFill="1" applyBorder="1" applyProtection="1">
      <protection hidden="1"/>
    </xf>
    <xf numFmtId="0" fontId="2" fillId="0" borderId="46" xfId="0" applyFont="1" applyFill="1" applyBorder="1" applyProtection="1">
      <protection hidden="1"/>
    </xf>
    <xf numFmtId="0" fontId="2" fillId="0" borderId="47" xfId="0" applyFont="1" applyFill="1" applyBorder="1" applyProtection="1">
      <protection hidden="1"/>
    </xf>
    <xf numFmtId="0" fontId="2" fillId="0" borderId="48" xfId="0" applyFont="1" applyFill="1" applyBorder="1" applyProtection="1">
      <protection hidden="1"/>
    </xf>
    <xf numFmtId="0" fontId="2" fillId="0" borderId="49" xfId="0" applyFont="1" applyFill="1" applyBorder="1" applyProtection="1">
      <protection hidden="1"/>
    </xf>
    <xf numFmtId="0" fontId="2" fillId="0" borderId="50" xfId="0" applyFont="1" applyFill="1" applyBorder="1" applyProtection="1">
      <protection hidden="1"/>
    </xf>
    <xf numFmtId="0" fontId="2" fillId="0" borderId="32" xfId="0" applyNumberFormat="1" applyFont="1" applyFill="1" applyBorder="1" applyProtection="1">
      <protection hidden="1"/>
    </xf>
    <xf numFmtId="0" fontId="2" fillId="0" borderId="51" xfId="0" applyFont="1" applyFill="1" applyBorder="1" applyProtection="1">
      <protection hidden="1"/>
    </xf>
    <xf numFmtId="1" fontId="2" fillId="0" borderId="32" xfId="0" applyNumberFormat="1" applyFont="1" applyFill="1" applyBorder="1" applyProtection="1">
      <protection hidden="1"/>
    </xf>
    <xf numFmtId="3" fontId="2" fillId="0" borderId="32" xfId="0" applyNumberFormat="1" applyFont="1" applyFill="1" applyBorder="1" applyProtection="1">
      <protection hidden="1"/>
    </xf>
    <xf numFmtId="0" fontId="2" fillId="0" borderId="52" xfId="0" applyFont="1" applyFill="1" applyBorder="1" applyProtection="1">
      <protection hidden="1"/>
    </xf>
    <xf numFmtId="0" fontId="2" fillId="0" borderId="53" xfId="0" applyFont="1" applyFill="1" applyBorder="1" applyProtection="1">
      <protection hidden="1"/>
    </xf>
    <xf numFmtId="0" fontId="3" fillId="7" borderId="0" xfId="0" applyFont="1" applyFill="1" applyBorder="1" applyAlignment="1" applyProtection="1">
      <alignment horizontal="left"/>
      <protection locked="0"/>
    </xf>
    <xf numFmtId="0" fontId="2" fillId="8" borderId="0" xfId="0" applyFont="1" applyFill="1" applyBorder="1" applyAlignment="1" applyProtection="1">
      <alignment horizontal="left"/>
      <protection hidden="1"/>
    </xf>
    <xf numFmtId="2" fontId="2" fillId="0" borderId="0" xfId="0" applyNumberFormat="1" applyFont="1"/>
    <xf numFmtId="2" fontId="2" fillId="0" borderId="0" xfId="0" applyNumberFormat="1" applyFont="1" applyFill="1"/>
    <xf numFmtId="0" fontId="2" fillId="0" borderId="0" xfId="0" applyFont="1" applyFill="1" applyAlignment="1">
      <alignment horizontal="right"/>
    </xf>
    <xf numFmtId="3" fontId="2" fillId="5" borderId="0" xfId="0" applyNumberFormat="1" applyFont="1" applyFill="1" applyAlignment="1">
      <alignment horizontal="right"/>
    </xf>
    <xf numFmtId="2" fontId="2" fillId="5" borderId="0" xfId="0" applyNumberFormat="1" applyFont="1" applyFill="1" applyAlignment="1">
      <alignment horizontal="right"/>
    </xf>
    <xf numFmtId="0" fontId="2" fillId="5" borderId="0" xfId="0" applyNumberFormat="1" applyFont="1" applyFill="1"/>
    <xf numFmtId="0" fontId="2" fillId="0" borderId="0" xfId="0" quotePrefix="1" applyFont="1"/>
    <xf numFmtId="1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172" fontId="2" fillId="5" borderId="0" xfId="0" applyNumberFormat="1" applyFont="1" applyFill="1"/>
    <xf numFmtId="49" fontId="2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2" fillId="8" borderId="0" xfId="0" applyFont="1" applyFill="1"/>
    <xf numFmtId="0" fontId="2" fillId="5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alignment horizontal="right"/>
      <protection hidden="1"/>
    </xf>
    <xf numFmtId="0" fontId="5" fillId="0" borderId="0" xfId="0" applyFont="1" applyFill="1" applyAlignment="1" applyProtection="1">
      <alignment horizontal="left"/>
      <protection hidden="1"/>
    </xf>
    <xf numFmtId="165" fontId="2" fillId="0" borderId="0" xfId="7" applyNumberFormat="1" applyFont="1" applyFill="1" applyAlignment="1" applyProtection="1">
      <alignment horizontal="left"/>
      <protection hidden="1"/>
    </xf>
    <xf numFmtId="177" fontId="2" fillId="0" borderId="3" xfId="0" applyNumberFormat="1" applyFont="1" applyFill="1" applyBorder="1" applyProtection="1">
      <protection hidden="1"/>
    </xf>
    <xf numFmtId="178" fontId="2" fillId="0" borderId="0" xfId="0" applyNumberFormat="1" applyFont="1" applyFill="1" applyProtection="1">
      <protection hidden="1"/>
    </xf>
    <xf numFmtId="208" fontId="2" fillId="0" borderId="0" xfId="0" applyNumberFormat="1" applyFont="1" applyFill="1" applyBorder="1" applyProtection="1">
      <protection hidden="1"/>
    </xf>
    <xf numFmtId="178" fontId="2" fillId="0" borderId="0" xfId="0" applyNumberFormat="1" applyFont="1" applyFill="1" applyBorder="1" applyProtection="1">
      <protection hidden="1"/>
    </xf>
    <xf numFmtId="178" fontId="2" fillId="0" borderId="3" xfId="0" applyNumberFormat="1" applyFont="1" applyFill="1" applyBorder="1" applyProtection="1">
      <protection hidden="1"/>
    </xf>
    <xf numFmtId="177" fontId="2" fillId="0" borderId="0" xfId="0" applyNumberFormat="1" applyFont="1" applyFill="1" applyBorder="1" applyProtection="1">
      <protection hidden="1"/>
    </xf>
    <xf numFmtId="0" fontId="3" fillId="7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5" borderId="6" xfId="0" applyFont="1" applyFill="1" applyBorder="1" applyAlignment="1" applyProtection="1">
      <alignment horizontal="center"/>
      <protection hidden="1"/>
    </xf>
    <xf numFmtId="0" fontId="2" fillId="0" borderId="54" xfId="0" applyFont="1" applyFill="1" applyBorder="1" applyProtection="1">
      <protection hidden="1"/>
    </xf>
    <xf numFmtId="1" fontId="2" fillId="0" borderId="0" xfId="0" applyNumberFormat="1" applyFont="1" applyFill="1" applyProtection="1">
      <protection hidden="1"/>
    </xf>
    <xf numFmtId="0" fontId="2" fillId="0" borderId="38" xfId="0" applyFont="1" applyFill="1" applyBorder="1" applyProtection="1">
      <protection hidden="1"/>
    </xf>
    <xf numFmtId="0" fontId="2" fillId="2" borderId="0" xfId="0" applyNumberFormat="1" applyFont="1" applyFill="1" applyProtection="1">
      <protection locked="0"/>
    </xf>
    <xf numFmtId="0" fontId="2" fillId="3" borderId="0" xfId="0" applyFont="1" applyFill="1" applyAlignment="1" applyProtection="1">
      <alignment horizontal="right"/>
      <protection hidden="1"/>
    </xf>
    <xf numFmtId="178" fontId="2" fillId="3" borderId="0" xfId="0" applyNumberFormat="1" applyFont="1" applyFill="1" applyBorder="1" applyProtection="1">
      <protection hidden="1"/>
    </xf>
    <xf numFmtId="0" fontId="2" fillId="0" borderId="0" xfId="3" applyFont="1" applyFill="1" applyBorder="1" applyProtection="1">
      <protection hidden="1"/>
    </xf>
    <xf numFmtId="0" fontId="2" fillId="0" borderId="3" xfId="3" applyFont="1" applyFill="1" applyBorder="1" applyAlignment="1" applyProtection="1">
      <alignment horizontal="center"/>
      <protection hidden="1"/>
    </xf>
    <xf numFmtId="0" fontId="2" fillId="0" borderId="3" xfId="3" applyFont="1" applyFill="1" applyBorder="1" applyProtection="1">
      <protection hidden="1"/>
    </xf>
    <xf numFmtId="3" fontId="2" fillId="0" borderId="3" xfId="3" applyNumberFormat="1" applyFont="1" applyFill="1" applyBorder="1" applyAlignment="1" applyProtection="1">
      <alignment horizontal="right"/>
      <protection hidden="1"/>
    </xf>
    <xf numFmtId="0" fontId="2" fillId="0" borderId="0" xfId="3" applyFont="1" applyFill="1" applyBorder="1" applyAlignment="1" applyProtection="1">
      <alignment horizontal="right"/>
      <protection hidden="1"/>
    </xf>
    <xf numFmtId="0" fontId="2" fillId="0" borderId="0" xfId="3" applyFont="1" applyFill="1" applyBorder="1" applyAlignment="1" applyProtection="1">
      <alignment horizontal="left"/>
      <protection hidden="1"/>
    </xf>
    <xf numFmtId="0" fontId="8" fillId="0" borderId="0" xfId="3" applyFont="1" applyFill="1" applyBorder="1" applyAlignment="1" applyProtection="1">
      <alignment horizontal="left"/>
      <protection hidden="1"/>
    </xf>
    <xf numFmtId="0" fontId="5" fillId="0" borderId="0" xfId="3" applyFont="1" applyFill="1" applyBorder="1" applyAlignment="1" applyProtection="1">
      <alignment horizontal="left"/>
      <protection hidden="1"/>
    </xf>
    <xf numFmtId="0" fontId="2" fillId="0" borderId="0" xfId="3" applyFont="1" applyFill="1" applyBorder="1" applyAlignment="1" applyProtection="1">
      <alignment horizontal="center"/>
      <protection hidden="1"/>
    </xf>
    <xf numFmtId="0" fontId="5" fillId="0" borderId="0" xfId="3" applyFont="1" applyFill="1" applyBorder="1" applyProtection="1">
      <protection hidden="1"/>
    </xf>
    <xf numFmtId="0" fontId="5" fillId="0" borderId="0" xfId="3" applyFont="1" applyFill="1" applyBorder="1" applyAlignment="1" applyProtection="1">
      <alignment horizontal="center"/>
      <protection hidden="1"/>
    </xf>
    <xf numFmtId="201" fontId="2" fillId="0" borderId="0" xfId="3" applyNumberFormat="1" applyFont="1" applyFill="1" applyBorder="1" applyAlignment="1" applyProtection="1">
      <alignment horizontal="right"/>
      <protection hidden="1"/>
    </xf>
    <xf numFmtId="3" fontId="2" fillId="0" borderId="0" xfId="3" applyNumberFormat="1" applyFont="1" applyFill="1" applyBorder="1" applyAlignment="1" applyProtection="1">
      <alignment horizontal="right"/>
      <protection hidden="1"/>
    </xf>
    <xf numFmtId="3" fontId="2" fillId="3" borderId="0" xfId="3" applyNumberFormat="1" applyFont="1" applyFill="1" applyBorder="1" applyProtection="1">
      <protection hidden="1"/>
    </xf>
    <xf numFmtId="0" fontId="3" fillId="0" borderId="0" xfId="3" applyFont="1" applyFill="1" applyBorder="1" applyProtection="1">
      <protection hidden="1"/>
    </xf>
    <xf numFmtId="0" fontId="2" fillId="0" borderId="0" xfId="2" applyFont="1" applyFill="1" applyBorder="1" applyProtection="1">
      <protection hidden="1"/>
    </xf>
    <xf numFmtId="0" fontId="9" fillId="0" borderId="0" xfId="3" applyFont="1" applyFill="1" applyBorder="1" applyProtection="1">
      <protection hidden="1"/>
    </xf>
    <xf numFmtId="3" fontId="2" fillId="0" borderId="0" xfId="3" applyNumberFormat="1" applyFont="1" applyFill="1" applyBorder="1" applyAlignment="1" applyProtection="1">
      <alignment horizontal="center"/>
      <protection hidden="1"/>
    </xf>
    <xf numFmtId="3" fontId="2" fillId="0" borderId="0" xfId="3" applyNumberFormat="1" applyFont="1" applyFill="1" applyBorder="1" applyProtection="1">
      <protection hidden="1"/>
    </xf>
    <xf numFmtId="2" fontId="2" fillId="0" borderId="0" xfId="3" applyNumberFormat="1" applyFont="1" applyFill="1" applyBorder="1" applyAlignment="1" applyProtection="1">
      <alignment horizontal="left"/>
      <protection hidden="1"/>
    </xf>
    <xf numFmtId="181" fontId="2" fillId="0" borderId="0" xfId="3" applyNumberFormat="1" applyFont="1" applyFill="1" applyBorder="1" applyAlignment="1" applyProtection="1">
      <alignment horizontal="center"/>
      <protection hidden="1"/>
    </xf>
    <xf numFmtId="3" fontId="2" fillId="0" borderId="0" xfId="3" applyNumberFormat="1" applyFont="1" applyFill="1" applyBorder="1" applyAlignment="1" applyProtection="1">
      <alignment horizontal="left"/>
      <protection hidden="1"/>
    </xf>
    <xf numFmtId="3" fontId="3" fillId="0" borderId="55" xfId="3" applyNumberFormat="1" applyFont="1" applyFill="1" applyBorder="1" applyAlignment="1" applyProtection="1">
      <alignment horizontal="left"/>
      <protection hidden="1"/>
    </xf>
    <xf numFmtId="0" fontId="3" fillId="0" borderId="56" xfId="3" applyFont="1" applyFill="1" applyBorder="1" applyProtection="1">
      <protection hidden="1"/>
    </xf>
    <xf numFmtId="0" fontId="3" fillId="0" borderId="57" xfId="3" applyFont="1" applyFill="1" applyBorder="1" applyProtection="1">
      <protection hidden="1"/>
    </xf>
    <xf numFmtId="0" fontId="2" fillId="0" borderId="18" xfId="3" applyFont="1" applyFill="1" applyBorder="1" applyProtection="1">
      <protection hidden="1"/>
    </xf>
    <xf numFmtId="0" fontId="2" fillId="0" borderId="58" xfId="3" applyFont="1" applyFill="1" applyBorder="1" applyProtection="1">
      <protection hidden="1"/>
    </xf>
    <xf numFmtId="0" fontId="2" fillId="0" borderId="19" xfId="3" applyFont="1" applyFill="1" applyBorder="1" applyProtection="1">
      <protection hidden="1"/>
    </xf>
    <xf numFmtId="3" fontId="3" fillId="0" borderId="59" xfId="3" applyNumberFormat="1" applyFont="1" applyFill="1" applyBorder="1" applyAlignment="1" applyProtection="1">
      <alignment horizontal="left"/>
      <protection hidden="1"/>
    </xf>
    <xf numFmtId="0" fontId="3" fillId="0" borderId="60" xfId="3" applyFont="1" applyFill="1" applyBorder="1" applyProtection="1">
      <protection hidden="1"/>
    </xf>
    <xf numFmtId="181" fontId="2" fillId="0" borderId="0" xfId="3" applyNumberFormat="1" applyFont="1" applyFill="1" applyBorder="1" applyProtection="1">
      <protection hidden="1"/>
    </xf>
    <xf numFmtId="3" fontId="3" fillId="0" borderId="61" xfId="3" applyNumberFormat="1" applyFont="1" applyFill="1" applyBorder="1" applyAlignment="1" applyProtection="1">
      <alignment horizontal="left"/>
      <protection hidden="1"/>
    </xf>
    <xf numFmtId="0" fontId="3" fillId="0" borderId="62" xfId="3" applyFont="1" applyFill="1" applyBorder="1" applyProtection="1">
      <protection hidden="1"/>
    </xf>
    <xf numFmtId="0" fontId="3" fillId="0" borderId="63" xfId="3" applyFont="1" applyFill="1" applyBorder="1" applyProtection="1">
      <protection hidden="1"/>
    </xf>
    <xf numFmtId="3" fontId="3" fillId="0" borderId="0" xfId="3" applyNumberFormat="1" applyFont="1" applyFill="1" applyBorder="1" applyProtection="1">
      <protection hidden="1"/>
    </xf>
    <xf numFmtId="3" fontId="9" fillId="0" borderId="0" xfId="3" applyNumberFormat="1" applyFont="1" applyFill="1" applyBorder="1" applyProtection="1">
      <protection hidden="1"/>
    </xf>
    <xf numFmtId="0" fontId="2" fillId="0" borderId="64" xfId="3" applyFont="1" applyFill="1" applyBorder="1" applyProtection="1">
      <protection hidden="1"/>
    </xf>
    <xf numFmtId="0" fontId="2" fillId="0" borderId="65" xfId="3" applyFont="1" applyFill="1" applyBorder="1" applyProtection="1">
      <protection hidden="1"/>
    </xf>
    <xf numFmtId="0" fontId="2" fillId="0" borderId="66" xfId="3" applyFont="1" applyFill="1" applyBorder="1" applyProtection="1">
      <protection hidden="1"/>
    </xf>
    <xf numFmtId="3" fontId="9" fillId="0" borderId="12" xfId="3" applyNumberFormat="1" applyFont="1" applyFill="1" applyBorder="1" applyAlignment="1" applyProtection="1">
      <alignment horizontal="left"/>
      <protection hidden="1"/>
    </xf>
    <xf numFmtId="0" fontId="9" fillId="0" borderId="30" xfId="3" applyFont="1" applyFill="1" applyBorder="1" applyProtection="1">
      <protection hidden="1"/>
    </xf>
    <xf numFmtId="0" fontId="9" fillId="0" borderId="13" xfId="3" applyFont="1" applyFill="1" applyBorder="1" applyProtection="1">
      <protection hidden="1"/>
    </xf>
    <xf numFmtId="0" fontId="2" fillId="0" borderId="67" xfId="3" applyFont="1" applyFill="1" applyBorder="1" applyProtection="1">
      <protection hidden="1"/>
    </xf>
    <xf numFmtId="3" fontId="2" fillId="0" borderId="68" xfId="3" applyNumberFormat="1" applyFont="1" applyFill="1" applyBorder="1" applyProtection="1">
      <protection hidden="1"/>
    </xf>
    <xf numFmtId="0" fontId="9" fillId="0" borderId="14" xfId="3" applyFont="1" applyFill="1" applyBorder="1" applyProtection="1">
      <protection hidden="1"/>
    </xf>
    <xf numFmtId="0" fontId="9" fillId="0" borderId="17" xfId="3" applyFont="1" applyFill="1" applyBorder="1" applyProtection="1">
      <protection hidden="1"/>
    </xf>
    <xf numFmtId="0" fontId="2" fillId="0" borderId="68" xfId="3" applyFont="1" applyFill="1" applyBorder="1" applyProtection="1">
      <protection hidden="1"/>
    </xf>
    <xf numFmtId="0" fontId="9" fillId="0" borderId="15" xfId="3" applyFont="1" applyFill="1" applyBorder="1" applyProtection="1">
      <protection hidden="1"/>
    </xf>
    <xf numFmtId="0" fontId="9" fillId="0" borderId="34" xfId="3" applyFont="1" applyFill="1" applyBorder="1" applyProtection="1">
      <protection hidden="1"/>
    </xf>
    <xf numFmtId="0" fontId="9" fillId="0" borderId="16" xfId="3" applyFont="1" applyFill="1" applyBorder="1" applyProtection="1">
      <protection hidden="1"/>
    </xf>
    <xf numFmtId="1" fontId="2" fillId="0" borderId="0" xfId="3" applyNumberFormat="1" applyFont="1" applyFill="1" applyBorder="1" applyProtection="1">
      <protection hidden="1"/>
    </xf>
    <xf numFmtId="0" fontId="2" fillId="0" borderId="69" xfId="3" applyFont="1" applyFill="1" applyBorder="1" applyProtection="1">
      <protection hidden="1"/>
    </xf>
    <xf numFmtId="3" fontId="2" fillId="0" borderId="70" xfId="3" applyNumberFormat="1" applyFont="1" applyFill="1" applyBorder="1" applyProtection="1">
      <protection hidden="1"/>
    </xf>
    <xf numFmtId="3" fontId="2" fillId="0" borderId="71" xfId="3" applyNumberFormat="1" applyFont="1" applyFill="1" applyBorder="1" applyProtection="1">
      <protection hidden="1"/>
    </xf>
    <xf numFmtId="181" fontId="2" fillId="0" borderId="3" xfId="3" applyNumberFormat="1" applyFont="1" applyFill="1" applyBorder="1" applyProtection="1">
      <protection hidden="1"/>
    </xf>
    <xf numFmtId="170" fontId="2" fillId="0" borderId="0" xfId="3" applyNumberFormat="1" applyFont="1" applyFill="1" applyBorder="1" applyAlignment="1" applyProtection="1">
      <alignment horizontal="right"/>
      <protection hidden="1"/>
    </xf>
    <xf numFmtId="170" fontId="2" fillId="0" borderId="0" xfId="3" applyNumberFormat="1" applyFont="1" applyFill="1" applyBorder="1" applyProtection="1">
      <protection hidden="1"/>
    </xf>
    <xf numFmtId="164" fontId="2" fillId="0" borderId="0" xfId="3" applyNumberFormat="1" applyFont="1" applyFill="1" applyBorder="1" applyAlignment="1" applyProtection="1">
      <alignment horizontal="center"/>
      <protection hidden="1"/>
    </xf>
    <xf numFmtId="164" fontId="2" fillId="0" borderId="0" xfId="3" applyNumberFormat="1" applyFont="1" applyFill="1" applyBorder="1" applyProtection="1">
      <protection hidden="1"/>
    </xf>
    <xf numFmtId="164" fontId="2" fillId="0" borderId="0" xfId="3" applyNumberFormat="1" applyFont="1" applyFill="1" applyBorder="1" applyAlignment="1" applyProtection="1">
      <alignment horizontal="right"/>
      <protection hidden="1"/>
    </xf>
    <xf numFmtId="170" fontId="2" fillId="0" borderId="0" xfId="3" applyNumberFormat="1" applyFont="1" applyFill="1" applyBorder="1" applyAlignment="1" applyProtection="1">
      <alignment horizontal="center"/>
      <protection hidden="1"/>
    </xf>
    <xf numFmtId="170" fontId="2" fillId="0" borderId="0" xfId="3" applyNumberFormat="1" applyFont="1" applyFill="1" applyBorder="1" applyAlignment="1" applyProtection="1">
      <alignment horizontal="left"/>
      <protection hidden="1"/>
    </xf>
    <xf numFmtId="0" fontId="2" fillId="0" borderId="31" xfId="3" applyFont="1" applyFill="1" applyBorder="1" applyProtection="1">
      <protection hidden="1"/>
    </xf>
    <xf numFmtId="0" fontId="2" fillId="0" borderId="4" xfId="3" applyFont="1" applyFill="1" applyBorder="1" applyProtection="1">
      <protection hidden="1"/>
    </xf>
    <xf numFmtId="0" fontId="2" fillId="0" borderId="0" xfId="2" applyNumberFormat="1" applyFont="1" applyFill="1" applyBorder="1" applyProtection="1">
      <protection hidden="1"/>
    </xf>
    <xf numFmtId="0" fontId="2" fillId="0" borderId="36" xfId="3" applyFont="1" applyFill="1" applyBorder="1" applyProtection="1">
      <protection hidden="1"/>
    </xf>
    <xf numFmtId="0" fontId="2" fillId="0" borderId="7" xfId="3" applyFont="1" applyFill="1" applyBorder="1" applyProtection="1">
      <protection hidden="1"/>
    </xf>
    <xf numFmtId="0" fontId="2" fillId="0" borderId="8" xfId="3" applyFont="1" applyFill="1" applyBorder="1" applyProtection="1">
      <protection hidden="1"/>
    </xf>
    <xf numFmtId="200" fontId="2" fillId="0" borderId="0" xfId="3" applyNumberFormat="1" applyFont="1" applyFill="1" applyBorder="1" applyProtection="1">
      <protection hidden="1"/>
    </xf>
    <xf numFmtId="174" fontId="2" fillId="0" borderId="0" xfId="3" applyNumberFormat="1" applyFont="1" applyFill="1" applyBorder="1" applyProtection="1">
      <protection hidden="1"/>
    </xf>
    <xf numFmtId="0" fontId="2" fillId="0" borderId="0" xfId="3" applyFont="1" applyFill="1" applyProtection="1">
      <protection hidden="1"/>
    </xf>
    <xf numFmtId="0" fontId="2" fillId="0" borderId="0" xfId="3" applyNumberFormat="1" applyFont="1" applyFill="1" applyBorder="1" applyAlignment="1" applyProtection="1">
      <alignment horizontal="left"/>
      <protection hidden="1"/>
    </xf>
    <xf numFmtId="0" fontId="2" fillId="0" borderId="0" xfId="3" quotePrefix="1" applyFont="1" applyFill="1" applyProtection="1">
      <protection hidden="1"/>
    </xf>
    <xf numFmtId="3" fontId="3" fillId="3" borderId="0" xfId="3" applyNumberFormat="1" applyFont="1" applyFill="1" applyBorder="1" applyProtection="1">
      <protection hidden="1"/>
    </xf>
    <xf numFmtId="3" fontId="2" fillId="3" borderId="0" xfId="3" applyNumberFormat="1" applyFont="1" applyFill="1" applyBorder="1" applyAlignment="1" applyProtection="1">
      <alignment horizontal="right"/>
      <protection hidden="1"/>
    </xf>
    <xf numFmtId="0" fontId="2" fillId="3" borderId="0" xfId="3" applyFont="1" applyFill="1" applyBorder="1" applyProtection="1">
      <protection hidden="1"/>
    </xf>
    <xf numFmtId="0" fontId="2" fillId="3" borderId="0" xfId="3" applyFont="1" applyFill="1" applyBorder="1" applyAlignment="1" applyProtection="1">
      <alignment horizontal="right"/>
      <protection hidden="1"/>
    </xf>
    <xf numFmtId="181" fontId="2" fillId="0" borderId="0" xfId="3" applyNumberFormat="1" applyFont="1" applyFill="1" applyBorder="1" applyAlignment="1" applyProtection="1">
      <alignment horizontal="left"/>
      <protection hidden="1"/>
    </xf>
    <xf numFmtId="164" fontId="2" fillId="0" borderId="0" xfId="3" applyNumberFormat="1" applyFont="1" applyFill="1" applyBorder="1" applyAlignment="1" applyProtection="1">
      <alignment horizontal="left"/>
      <protection hidden="1"/>
    </xf>
    <xf numFmtId="181" fontId="2" fillId="0" borderId="3" xfId="3" applyNumberFormat="1" applyFont="1" applyFill="1" applyBorder="1" applyAlignment="1" applyProtection="1">
      <alignment horizontal="left"/>
      <protection hidden="1"/>
    </xf>
    <xf numFmtId="1" fontId="2" fillId="2" borderId="0" xfId="3" applyNumberFormat="1" applyFont="1" applyFill="1" applyBorder="1" applyAlignment="1" applyProtection="1">
      <alignment horizontal="right"/>
      <protection hidden="1"/>
    </xf>
    <xf numFmtId="0" fontId="2" fillId="2" borderId="0" xfId="3" applyFont="1" applyFill="1" applyBorder="1" applyProtection="1">
      <protection hidden="1"/>
    </xf>
    <xf numFmtId="3" fontId="2" fillId="0" borderId="7" xfId="3" applyNumberFormat="1" applyFont="1" applyFill="1" applyBorder="1" applyAlignment="1" applyProtection="1">
      <alignment horizontal="right"/>
      <protection hidden="1"/>
    </xf>
    <xf numFmtId="181" fontId="2" fillId="0" borderId="7" xfId="3" applyNumberFormat="1" applyFont="1" applyFill="1" applyBorder="1" applyProtection="1">
      <protection hidden="1"/>
    </xf>
    <xf numFmtId="0" fontId="5" fillId="0" borderId="0" xfId="2" applyFont="1" applyFill="1" applyBorder="1" applyProtection="1">
      <protection hidden="1"/>
    </xf>
    <xf numFmtId="177" fontId="2" fillId="0" borderId="0" xfId="3" applyNumberFormat="1" applyFont="1" applyFill="1" applyBorder="1" applyAlignment="1" applyProtection="1">
      <alignment horizontal="right"/>
      <protection hidden="1"/>
    </xf>
    <xf numFmtId="177" fontId="2" fillId="0" borderId="3" xfId="3" applyNumberFormat="1" applyFont="1" applyFill="1" applyBorder="1" applyAlignment="1" applyProtection="1">
      <alignment horizontal="right"/>
      <protection hidden="1"/>
    </xf>
    <xf numFmtId="178" fontId="2" fillId="0" borderId="0" xfId="3" applyNumberFormat="1" applyFont="1" applyFill="1" applyBorder="1" applyAlignment="1" applyProtection="1">
      <alignment horizontal="right"/>
      <protection hidden="1"/>
    </xf>
    <xf numFmtId="178" fontId="2" fillId="0" borderId="3" xfId="3" applyNumberFormat="1" applyFont="1" applyFill="1" applyBorder="1" applyAlignment="1" applyProtection="1">
      <alignment horizontal="right"/>
      <protection hidden="1"/>
    </xf>
    <xf numFmtId="178" fontId="5" fillId="0" borderId="3" xfId="3" applyNumberFormat="1" applyFont="1" applyFill="1" applyBorder="1" applyAlignment="1" applyProtection="1">
      <alignment horizontal="right"/>
      <protection hidden="1"/>
    </xf>
    <xf numFmtId="170" fontId="5" fillId="0" borderId="0" xfId="3" applyNumberFormat="1" applyFont="1" applyFill="1" applyBorder="1" applyAlignment="1" applyProtection="1">
      <alignment horizontal="left"/>
      <protection hidden="1"/>
    </xf>
    <xf numFmtId="178" fontId="2" fillId="0" borderId="0" xfId="3" applyNumberFormat="1" applyFont="1" applyFill="1" applyBorder="1" applyProtection="1">
      <protection hidden="1"/>
    </xf>
    <xf numFmtId="0" fontId="8" fillId="0" borderId="0" xfId="0" applyFont="1" applyFill="1" applyProtection="1">
      <protection hidden="1"/>
    </xf>
    <xf numFmtId="3" fontId="2" fillId="0" borderId="0" xfId="0" applyNumberFormat="1" applyFont="1" applyFill="1" applyProtection="1">
      <protection hidden="1"/>
    </xf>
    <xf numFmtId="170" fontId="2" fillId="0" borderId="3" xfId="3" applyNumberFormat="1" applyFont="1" applyFill="1" applyBorder="1" applyAlignment="1" applyProtection="1">
      <alignment horizontal="right"/>
      <protection hidden="1"/>
    </xf>
    <xf numFmtId="170" fontId="2" fillId="0" borderId="3" xfId="3" applyNumberFormat="1" applyFont="1" applyFill="1" applyBorder="1" applyProtection="1">
      <protection hidden="1"/>
    </xf>
    <xf numFmtId="170" fontId="2" fillId="0" borderId="3" xfId="3" applyNumberFormat="1" applyFont="1" applyFill="1" applyBorder="1" applyAlignment="1" applyProtection="1">
      <alignment horizontal="left"/>
      <protection hidden="1"/>
    </xf>
    <xf numFmtId="3" fontId="2" fillId="0" borderId="0" xfId="8" applyNumberFormat="1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2" fillId="0" borderId="2" xfId="0" applyFont="1" applyFill="1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2" fillId="0" borderId="6" xfId="0" applyFont="1" applyFill="1" applyBorder="1" applyProtection="1">
      <protection hidden="1"/>
    </xf>
    <xf numFmtId="0" fontId="2" fillId="0" borderId="2" xfId="0" applyFont="1" applyFill="1" applyBorder="1" applyAlignment="1" applyProtection="1">
      <alignment horizontal="right"/>
      <protection hidden="1"/>
    </xf>
    <xf numFmtId="3" fontId="2" fillId="0" borderId="2" xfId="0" applyNumberFormat="1" applyFont="1" applyFill="1" applyBorder="1" applyAlignment="1" applyProtection="1">
      <alignment horizontal="right"/>
      <protection hidden="1"/>
    </xf>
    <xf numFmtId="3" fontId="2" fillId="5" borderId="0" xfId="0" applyNumberFormat="1" applyFont="1" applyFill="1" applyProtection="1">
      <protection hidden="1"/>
    </xf>
    <xf numFmtId="3" fontId="2" fillId="0" borderId="1" xfId="0" applyNumberFormat="1" applyFont="1" applyFill="1" applyBorder="1" applyAlignment="1" applyProtection="1">
      <alignment horizontal="right"/>
      <protection hidden="1"/>
    </xf>
    <xf numFmtId="3" fontId="2" fillId="0" borderId="1" xfId="0" applyNumberFormat="1" applyFont="1" applyFill="1" applyBorder="1" applyProtection="1">
      <protection hidden="1"/>
    </xf>
    <xf numFmtId="0" fontId="2" fillId="0" borderId="9" xfId="0" applyFont="1" applyFill="1" applyBorder="1" applyProtection="1">
      <protection hidden="1"/>
    </xf>
    <xf numFmtId="3" fontId="2" fillId="0" borderId="9" xfId="0" applyNumberFormat="1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0" fontId="2" fillId="0" borderId="6" xfId="0" applyFont="1" applyFill="1" applyBorder="1" applyAlignment="1" applyProtection="1">
      <alignment horizontal="right"/>
      <protection hidden="1"/>
    </xf>
    <xf numFmtId="0" fontId="9" fillId="9" borderId="0" xfId="0" applyFont="1" applyFill="1" applyAlignment="1" applyProtection="1">
      <alignment horizontal="center"/>
      <protection hidden="1"/>
    </xf>
    <xf numFmtId="3" fontId="3" fillId="7" borderId="0" xfId="0" applyNumberFormat="1" applyFont="1" applyFill="1" applyBorder="1" applyAlignment="1" applyProtection="1">
      <alignment horizontal="center"/>
      <protection hidden="1"/>
    </xf>
    <xf numFmtId="0" fontId="9" fillId="9" borderId="0" xfId="0" applyFont="1" applyFill="1" applyBorder="1" applyProtection="1">
      <protection hidden="1"/>
    </xf>
    <xf numFmtId="177" fontId="2" fillId="0" borderId="0" xfId="3" applyNumberFormat="1" applyFont="1" applyFill="1" applyBorder="1" applyAlignment="1" applyProtection="1">
      <alignment horizontal="right"/>
      <protection hidden="1"/>
    </xf>
    <xf numFmtId="177" fontId="2" fillId="0" borderId="3" xfId="3" applyNumberFormat="1" applyFont="1" applyFill="1" applyBorder="1" applyAlignment="1" applyProtection="1">
      <alignment horizontal="right"/>
      <protection hidden="1"/>
    </xf>
    <xf numFmtId="178" fontId="2" fillId="0" borderId="3" xfId="3" applyNumberFormat="1" applyFont="1" applyFill="1" applyBorder="1" applyAlignment="1" applyProtection="1">
      <alignment horizontal="right"/>
      <protection hidden="1"/>
    </xf>
    <xf numFmtId="178" fontId="2" fillId="0" borderId="0" xfId="3" applyNumberFormat="1" applyFont="1" applyFill="1" applyBorder="1" applyAlignment="1" applyProtection="1">
      <alignment horizontal="right"/>
      <protection hidden="1"/>
    </xf>
    <xf numFmtId="178" fontId="5" fillId="0" borderId="3" xfId="3" applyNumberFormat="1" applyFont="1" applyFill="1" applyBorder="1" applyAlignment="1" applyProtection="1">
      <alignment horizontal="right"/>
      <protection hidden="1"/>
    </xf>
  </cellXfs>
  <cellStyles count="10">
    <cellStyle name="Normal" xfId="0" builtinId="0"/>
    <cellStyle name="Normal_13" xfId="1"/>
    <cellStyle name="Normal_Book2" xfId="2"/>
    <cellStyle name="Normal_Book2_1" xfId="3"/>
    <cellStyle name="Normal_Book3" xfId="4"/>
    <cellStyle name="Normal_House Panel" xfId="5"/>
    <cellStyle name="Normal_JUNK" xfId="6"/>
    <cellStyle name="Normal_OSF208" xfId="7"/>
    <cellStyle name="Normal_Panel 2006" xfId="8"/>
    <cellStyle name="Normal_short" xfId="9"/>
  </cellStyles>
  <dxfs count="528">
    <dxf>
      <font>
        <condense val="0"/>
        <extend val="0"/>
        <color indexed="9"/>
      </font>
      <border>
        <left/>
        <righ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left/>
        <right style="dashed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left/>
        <right style="dashed">
          <color indexed="64"/>
        </right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left/>
        <right style="dashed">
          <color indexed="64"/>
        </right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left/>
        <right style="dashed">
          <color indexed="64"/>
        </right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right style="dashed">
          <color indexed="64"/>
        </right>
      </border>
    </dxf>
    <dxf>
      <border>
        <left/>
        <right/>
        <top/>
        <bottom/>
      </border>
    </dxf>
    <dxf>
      <border>
        <left/>
        <right style="dashed">
          <color indexed="64"/>
        </right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dashed">
          <color indexed="64"/>
        </right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dashed">
          <color indexed="64"/>
        </right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border>
        <top/>
      </border>
    </dxf>
    <dxf>
      <font>
        <condense val="0"/>
        <extend val="0"/>
        <color indexed="9"/>
      </font>
      <border>
        <left/>
        <righ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dashed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top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C527"/>
  <sheetViews>
    <sheetView showGridLines="0" showRowColHeaders="0" tabSelected="1" showOutlineSymbols="0" workbookViewId="0"/>
  </sheetViews>
  <sheetFormatPr defaultColWidth="0" defaultRowHeight="11.25" zeroHeight="1"/>
  <cols>
    <col min="1" max="1" width="2.140625" style="179" customWidth="1"/>
    <col min="2" max="2" width="2" style="179" customWidth="1"/>
    <col min="3" max="3" width="28.28515625" style="179" customWidth="1"/>
    <col min="4" max="4" width="24" style="179" customWidth="1"/>
    <col min="5" max="5" width="2.5703125" style="179" customWidth="1"/>
    <col min="6" max="6" width="23.5703125" style="179" customWidth="1"/>
    <col min="7" max="7" width="2" style="179" customWidth="1"/>
    <col min="8" max="8" width="5.7109375" style="179" customWidth="1"/>
    <col min="9" max="9" width="2.42578125" style="179" customWidth="1"/>
    <col min="10" max="10" width="8.5703125" style="179" customWidth="1"/>
    <col min="11" max="11" width="17.85546875" style="179" customWidth="1"/>
    <col min="12" max="13" width="2" style="179" customWidth="1"/>
    <col min="14" max="14" width="11.85546875" style="179" customWidth="1"/>
    <col min="15" max="15" width="2.5703125" style="179" customWidth="1"/>
    <col min="16" max="237" width="10.7109375" style="179" hidden="1" customWidth="1"/>
    <col min="238" max="16384" width="0" style="179" hidden="1"/>
  </cols>
  <sheetData>
    <row r="1" spans="1:51">
      <c r="A1" s="303"/>
      <c r="B1" s="303"/>
      <c r="C1" s="303" t="s">
        <v>941</v>
      </c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R1" s="179" t="s">
        <v>4</v>
      </c>
      <c r="T1" s="179">
        <f>K43</f>
        <v>3</v>
      </c>
      <c r="V1" s="179" t="s">
        <v>48</v>
      </c>
      <c r="AA1" s="179" t="s">
        <v>57</v>
      </c>
      <c r="AC1" s="179">
        <f>IF(S34&gt;0,1,(R11+R12+R13+R25+R26+R36+R20))</f>
        <v>0</v>
      </c>
    </row>
    <row r="2" spans="1:51">
      <c r="A2" s="303"/>
      <c r="B2" s="303" t="s">
        <v>44</v>
      </c>
      <c r="C2" s="303"/>
      <c r="D2" s="547" t="s">
        <v>939</v>
      </c>
      <c r="E2" s="303"/>
      <c r="F2" s="303"/>
      <c r="G2" s="303"/>
      <c r="H2" s="303"/>
      <c r="I2" s="303" t="s">
        <v>58</v>
      </c>
      <c r="J2" s="303"/>
      <c r="K2" s="303"/>
      <c r="L2" s="303"/>
      <c r="M2" s="303"/>
      <c r="N2" s="303"/>
      <c r="O2" s="303"/>
      <c r="T2" s="179">
        <f>K4</f>
        <v>6</v>
      </c>
      <c r="AA2" s="179" t="s">
        <v>611</v>
      </c>
      <c r="AC2" s="179">
        <f>IF(S34&gt;0,1,(R11+R12+R13+R25+R26+R36+R56))</f>
        <v>0</v>
      </c>
    </row>
    <row r="3" spans="1:51">
      <c r="A3" s="303"/>
      <c r="B3" s="304"/>
      <c r="C3" s="305"/>
      <c r="D3" s="305"/>
      <c r="E3" s="305"/>
      <c r="F3" s="305"/>
      <c r="G3" s="306"/>
      <c r="H3" s="307"/>
      <c r="I3" s="304"/>
      <c r="J3" s="305"/>
      <c r="K3" s="305"/>
      <c r="L3" s="306"/>
      <c r="M3" s="307"/>
      <c r="N3" s="307"/>
      <c r="O3" s="303"/>
      <c r="T3" s="179">
        <f>IF(D20="YES",1,0)</f>
        <v>0</v>
      </c>
      <c r="V3" s="179" t="s">
        <v>41</v>
      </c>
      <c r="W3" s="308" t="str">
        <f>D11</f>
        <v>3Y</v>
      </c>
      <c r="X3" s="309">
        <v>1</v>
      </c>
      <c r="Y3" s="179">
        <f>IF(W3="3Y",0,IF(AND(D20="YES",W3&lt;&gt;X3),1,0))</f>
        <v>0</v>
      </c>
    </row>
    <row r="4" spans="1:51">
      <c r="A4" s="303"/>
      <c r="B4" s="310"/>
      <c r="C4" s="307" t="s">
        <v>35</v>
      </c>
      <c r="D4" s="329" t="s">
        <v>38</v>
      </c>
      <c r="E4" s="307"/>
      <c r="F4" s="307"/>
      <c r="G4" s="311"/>
      <c r="H4" s="307"/>
      <c r="I4" s="310"/>
      <c r="J4" s="307" t="s">
        <v>60</v>
      </c>
      <c r="K4" s="329">
        <v>6</v>
      </c>
      <c r="L4" s="311"/>
      <c r="M4" s="307"/>
      <c r="N4" s="307" t="str">
        <f>IF(R14&gt;0,"&lt;&lt; ERROR","")</f>
        <v/>
      </c>
      <c r="O4" s="303"/>
      <c r="T4" s="179">
        <f>SUM(T1:T3)</f>
        <v>9</v>
      </c>
      <c r="V4" s="179" t="s">
        <v>687</v>
      </c>
      <c r="W4" s="312">
        <f>D12</f>
        <v>208</v>
      </c>
      <c r="X4" s="309">
        <v>208</v>
      </c>
      <c r="Y4" s="179">
        <f>IF(W4&lt;&gt;X4,1,0)</f>
        <v>0</v>
      </c>
    </row>
    <row r="5" spans="1:51">
      <c r="A5" s="303"/>
      <c r="B5" s="310"/>
      <c r="C5" s="307" t="s">
        <v>36</v>
      </c>
      <c r="D5" s="329" t="s">
        <v>39</v>
      </c>
      <c r="E5" s="307"/>
      <c r="F5" s="307"/>
      <c r="G5" s="311"/>
      <c r="H5" s="307"/>
      <c r="I5" s="313"/>
      <c r="J5" s="314"/>
      <c r="K5" s="315"/>
      <c r="L5" s="316"/>
      <c r="M5" s="307"/>
      <c r="N5" s="307"/>
      <c r="O5" s="303"/>
      <c r="V5" s="179" t="s">
        <v>688</v>
      </c>
      <c r="W5" s="308">
        <f>D13</f>
        <v>120</v>
      </c>
      <c r="X5" s="309">
        <v>120</v>
      </c>
      <c r="Y5" s="179">
        <f>IF(W5&lt;&gt;X5,1,0)</f>
        <v>0</v>
      </c>
      <c r="AI5" s="319">
        <f>S87</f>
        <v>0</v>
      </c>
      <c r="AQ5" s="179" t="str">
        <f>D37</f>
        <v>AL</v>
      </c>
    </row>
    <row r="6" spans="1:51">
      <c r="A6" s="303"/>
      <c r="B6" s="310"/>
      <c r="C6" s="307" t="s">
        <v>37</v>
      </c>
      <c r="D6" s="329" t="s">
        <v>40</v>
      </c>
      <c r="E6" s="307"/>
      <c r="F6" s="307"/>
      <c r="G6" s="311"/>
      <c r="H6" s="307"/>
      <c r="I6" s="303"/>
      <c r="J6" s="303"/>
      <c r="K6" s="318"/>
      <c r="L6" s="303"/>
      <c r="M6" s="303"/>
      <c r="N6" s="303"/>
      <c r="O6" s="303"/>
      <c r="P6" s="319"/>
      <c r="V6" s="179" t="s">
        <v>612</v>
      </c>
      <c r="W6" s="308"/>
      <c r="X6" s="317"/>
      <c r="Y6" s="179">
        <v>0</v>
      </c>
    </row>
    <row r="7" spans="1:51">
      <c r="A7" s="303"/>
      <c r="B7" s="313"/>
      <c r="C7" s="314"/>
      <c r="D7" s="314"/>
      <c r="E7" s="314"/>
      <c r="F7" s="314"/>
      <c r="G7" s="316"/>
      <c r="H7" s="307"/>
      <c r="I7" s="303" t="s">
        <v>59</v>
      </c>
      <c r="J7" s="303"/>
      <c r="K7" s="318"/>
      <c r="L7" s="303"/>
      <c r="M7" s="303"/>
      <c r="N7" s="303"/>
      <c r="O7" s="303"/>
      <c r="V7" s="179" t="s">
        <v>689</v>
      </c>
      <c r="W7" s="308">
        <f>D10</f>
        <v>2014</v>
      </c>
      <c r="X7" s="317">
        <v>2008</v>
      </c>
      <c r="Y7" s="179">
        <f>IF(D20="NO",0,IF(W7&lt;&gt;X7,1,0))</f>
        <v>0</v>
      </c>
      <c r="AA7" s="179" t="s">
        <v>610</v>
      </c>
      <c r="AH7" s="179" t="s">
        <v>104</v>
      </c>
      <c r="AI7" s="179" t="s">
        <v>69</v>
      </c>
      <c r="AJ7" s="179" t="s">
        <v>4</v>
      </c>
      <c r="AO7" s="237" t="s">
        <v>314</v>
      </c>
      <c r="AP7" s="237" t="s">
        <v>314</v>
      </c>
      <c r="AQ7" s="238" t="s">
        <v>549</v>
      </c>
      <c r="AR7" s="238" t="s">
        <v>549</v>
      </c>
      <c r="AS7" s="238" t="s">
        <v>549</v>
      </c>
      <c r="AU7" s="239" t="s">
        <v>446</v>
      </c>
      <c r="AV7" s="179" t="str">
        <f>Conduit!G54</f>
        <v>#300</v>
      </c>
      <c r="AW7" s="179">
        <f>MATCH(AV7,AO10:AO27,0)</f>
        <v>12</v>
      </c>
      <c r="AX7" s="240" t="str">
        <f>VLOOKUP(AW7,AN10:AQ27,4)</f>
        <v>#4</v>
      </c>
      <c r="AY7" s="179">
        <v>1</v>
      </c>
    </row>
    <row r="8" spans="1:51">
      <c r="A8" s="303"/>
      <c r="B8" s="303"/>
      <c r="C8" s="303"/>
      <c r="D8" s="303"/>
      <c r="E8" s="303"/>
      <c r="F8" s="303"/>
      <c r="G8" s="303"/>
      <c r="H8" s="303"/>
      <c r="I8" s="304"/>
      <c r="J8" s="305"/>
      <c r="K8" s="320"/>
      <c r="L8" s="306"/>
      <c r="M8" s="307"/>
      <c r="N8" s="307"/>
      <c r="O8" s="303"/>
      <c r="Y8" s="179">
        <f>IF(D20="NO",0,SUM(Y3:Y7))</f>
        <v>0</v>
      </c>
      <c r="AI8" s="179" t="s">
        <v>70</v>
      </c>
      <c r="AO8" s="241" t="s">
        <v>108</v>
      </c>
      <c r="AP8" s="241" t="s">
        <v>108</v>
      </c>
      <c r="AQ8" s="242" t="s">
        <v>293</v>
      </c>
      <c r="AR8" s="242" t="s">
        <v>293</v>
      </c>
      <c r="AS8" s="242" t="s">
        <v>293</v>
      </c>
      <c r="AU8" s="239" t="s">
        <v>543</v>
      </c>
      <c r="AX8" s="240"/>
      <c r="AY8" s="179">
        <v>2</v>
      </c>
    </row>
    <row r="9" spans="1:51">
      <c r="A9" s="303"/>
      <c r="B9" s="303" t="s">
        <v>45</v>
      </c>
      <c r="C9" s="303"/>
      <c r="D9" s="303"/>
      <c r="E9" s="303"/>
      <c r="F9" s="303"/>
      <c r="G9" s="303"/>
      <c r="H9" s="303"/>
      <c r="I9" s="310"/>
      <c r="J9" s="307" t="s">
        <v>74</v>
      </c>
      <c r="K9" s="307" t="str">
        <f>IF(AJ9&gt;0," ERROR IN SUB PANEL",Import!E7)</f>
        <v xml:space="preserve"> DP</v>
      </c>
      <c r="L9" s="311"/>
      <c r="M9" s="307"/>
      <c r="N9" s="307" t="str">
        <f>IF(R$12&gt;0,"",IF(R$11&gt;0,"",IF($R$13&gt;0,"",IF($R$15&gt;0,"",IF(AI9&gt;0," &lt;&lt; UPDATE"," ")))))</f>
        <v xml:space="preserve"> </v>
      </c>
      <c r="O9" s="303"/>
      <c r="AE9" s="179" t="s">
        <v>73</v>
      </c>
      <c r="AF9" s="178">
        <v>1</v>
      </c>
      <c r="AG9" s="179" t="str">
        <f>CONCATENATE(AE9,AF9)</f>
        <v>DP1</v>
      </c>
      <c r="AH9" s="179">
        <f>IF(OR($K$4=AF9,$K$4&gt;AF9),1,0)</f>
        <v>1</v>
      </c>
      <c r="AI9" s="179">
        <f>'Update Check'!D7</f>
        <v>0</v>
      </c>
      <c r="AJ9" s="319">
        <f>Import!D7</f>
        <v>0</v>
      </c>
      <c r="AO9" s="241" t="s">
        <v>320</v>
      </c>
      <c r="AP9" s="241" t="s">
        <v>321</v>
      </c>
      <c r="AQ9" s="242"/>
      <c r="AR9" s="242" t="s">
        <v>323</v>
      </c>
      <c r="AS9" s="242" t="s">
        <v>324</v>
      </c>
      <c r="AU9" s="179" t="s">
        <v>548</v>
      </c>
      <c r="AX9" s="240"/>
      <c r="AY9" s="179">
        <v>3</v>
      </c>
    </row>
    <row r="10" spans="1:51">
      <c r="A10" s="303"/>
      <c r="B10" s="304"/>
      <c r="C10" s="305" t="s">
        <v>689</v>
      </c>
      <c r="D10" s="424">
        <v>2014</v>
      </c>
      <c r="E10" s="305"/>
      <c r="F10" s="305" t="str">
        <f>IF(R15&gt;0,"&lt;&lt; SELECT CODE YEAR","")</f>
        <v/>
      </c>
      <c r="G10" s="306"/>
      <c r="H10" s="307"/>
      <c r="I10" s="310"/>
      <c r="J10" s="307" t="s">
        <v>75</v>
      </c>
      <c r="K10" s="307" t="str">
        <f>IF(AJ10&gt;0," ERROR IN SUB PANEL",Import!E8)</f>
        <v xml:space="preserve"> DP</v>
      </c>
      <c r="L10" s="311"/>
      <c r="M10" s="307"/>
      <c r="N10" s="307" t="str">
        <f>IF(R$12&gt;0,"",IF(R$11&gt;0,"",IF($R$13&gt;0,"",IF($R$15&gt;0,"",IF(AI10&gt;0," &lt;&lt; UPDATE"," ")))))</f>
        <v xml:space="preserve"> </v>
      </c>
      <c r="O10" s="303"/>
      <c r="AE10" s="179" t="s">
        <v>73</v>
      </c>
      <c r="AF10" s="178">
        <v>2</v>
      </c>
      <c r="AG10" s="179" t="str">
        <f t="shared" ref="AG10:AG38" si="0">CONCATENATE(AE10,AF10)</f>
        <v>DP2</v>
      </c>
      <c r="AH10" s="179">
        <f t="shared" ref="AH10:AH38" si="1">IF(OR($K$4=AF10,$K$4&gt;AF10),1,0)</f>
        <v>1</v>
      </c>
      <c r="AI10" s="179">
        <f>'Update Check'!D8</f>
        <v>0</v>
      </c>
      <c r="AJ10" s="319">
        <f>Import!D8</f>
        <v>0</v>
      </c>
      <c r="AN10" s="179">
        <f>AN9+1</f>
        <v>1</v>
      </c>
      <c r="AO10" s="237" t="s">
        <v>322</v>
      </c>
      <c r="AP10" s="237">
        <v>5</v>
      </c>
      <c r="AQ10" s="238" t="str">
        <f>IF(AQ$7="AL",AS10,AR10)</f>
        <v>#8</v>
      </c>
      <c r="AR10" s="425" t="s">
        <v>382</v>
      </c>
      <c r="AS10" s="425" t="s">
        <v>382</v>
      </c>
    </row>
    <row r="11" spans="1:51">
      <c r="A11" s="303"/>
      <c r="B11" s="310"/>
      <c r="C11" s="307" t="s">
        <v>41</v>
      </c>
      <c r="D11" s="330" t="s">
        <v>252</v>
      </c>
      <c r="E11" s="307"/>
      <c r="F11" s="307" t="str">
        <f>IF(R11&gt;0,"&lt;&lt; SELECT PHASE"," ")</f>
        <v xml:space="preserve"> </v>
      </c>
      <c r="G11" s="311"/>
      <c r="H11" s="307"/>
      <c r="I11" s="310"/>
      <c r="J11" s="307" t="s">
        <v>76</v>
      </c>
      <c r="K11" s="307" t="str">
        <f>IF(AJ11&gt;0," ERROR IN SUB PANEL",Import!E9)</f>
        <v xml:space="preserve"> DP</v>
      </c>
      <c r="L11" s="311"/>
      <c r="M11" s="307"/>
      <c r="N11" s="307" t="str">
        <f t="shared" ref="N11:N38" si="2">IF(R$12&gt;0,"",IF(R$11&gt;0,"",IF($R$13&gt;0,"",IF($R$15&gt;0,"",IF(AI11&gt;0," &lt;&lt; UPDATE"," ")))))</f>
        <v xml:space="preserve"> </v>
      </c>
      <c r="O11" s="303"/>
      <c r="R11" s="179">
        <f>IF(ISBLANK(D11)=TRUE,1,0)</f>
        <v>0</v>
      </c>
      <c r="S11" s="179">
        <f>R11+S34</f>
        <v>0</v>
      </c>
      <c r="Y11" s="179" t="str">
        <f>D20</f>
        <v>NO</v>
      </c>
      <c r="AE11" s="179" t="s">
        <v>73</v>
      </c>
      <c r="AF11" s="178">
        <v>3</v>
      </c>
      <c r="AG11" s="179" t="str">
        <f t="shared" si="0"/>
        <v>DP3</v>
      </c>
      <c r="AH11" s="179">
        <f t="shared" si="1"/>
        <v>1</v>
      </c>
      <c r="AI11" s="179">
        <f>'Update Check'!D9</f>
        <v>0</v>
      </c>
      <c r="AJ11" s="319">
        <f>Import!D9</f>
        <v>0</v>
      </c>
      <c r="AN11" s="179">
        <f t="shared" ref="AN11:AN27" si="3">AN10+1</f>
        <v>2</v>
      </c>
      <c r="AO11" s="241" t="s">
        <v>325</v>
      </c>
      <c r="AP11" s="241">
        <v>6</v>
      </c>
      <c r="AQ11" s="242" t="str">
        <f t="shared" ref="AQ11:AQ27" si="4">IF(AQ$7="AL",AS11,AR11)</f>
        <v>#8</v>
      </c>
      <c r="AR11" s="426" t="s">
        <v>382</v>
      </c>
      <c r="AS11" s="426" t="s">
        <v>382</v>
      </c>
    </row>
    <row r="12" spans="1:51">
      <c r="A12" s="303"/>
      <c r="B12" s="310"/>
      <c r="C12" s="307" t="s">
        <v>42</v>
      </c>
      <c r="D12" s="330">
        <v>208</v>
      </c>
      <c r="E12" s="307"/>
      <c r="F12" s="307" t="str">
        <f>IF(R12&gt;0,"&lt;&lt; ENTER HIGH VOLTAGE"," ")</f>
        <v xml:space="preserve"> </v>
      </c>
      <c r="G12" s="311"/>
      <c r="H12" s="307"/>
      <c r="I12" s="310"/>
      <c r="J12" s="307" t="s">
        <v>77</v>
      </c>
      <c r="K12" s="307" t="str">
        <f>IF(AJ12&gt;0," ERROR IN SUB PANEL",Import!E10)</f>
        <v xml:space="preserve"> DP</v>
      </c>
      <c r="L12" s="311"/>
      <c r="M12" s="307"/>
      <c r="N12" s="307" t="str">
        <f t="shared" si="2"/>
        <v xml:space="preserve"> </v>
      </c>
      <c r="O12" s="303"/>
      <c r="R12" s="179">
        <f>IF(ISBLANK(D12)=TRUE,1,0)</f>
        <v>0</v>
      </c>
      <c r="S12" s="179">
        <f>Y8</f>
        <v>0</v>
      </c>
      <c r="AE12" s="179" t="s">
        <v>73</v>
      </c>
      <c r="AF12" s="178">
        <v>4</v>
      </c>
      <c r="AG12" s="179" t="str">
        <f t="shared" si="0"/>
        <v>DP4</v>
      </c>
      <c r="AH12" s="179">
        <f t="shared" si="1"/>
        <v>1</v>
      </c>
      <c r="AI12" s="179">
        <f>'Update Check'!D10</f>
        <v>0</v>
      </c>
      <c r="AJ12" s="319">
        <f>Import!D10</f>
        <v>0</v>
      </c>
      <c r="AN12" s="179">
        <f t="shared" si="3"/>
        <v>3</v>
      </c>
      <c r="AO12" s="241" t="s">
        <v>327</v>
      </c>
      <c r="AP12" s="241">
        <v>6</v>
      </c>
      <c r="AQ12" s="242" t="str">
        <f t="shared" si="4"/>
        <v>#8</v>
      </c>
      <c r="AR12" s="426" t="s">
        <v>382</v>
      </c>
      <c r="AS12" s="426" t="s">
        <v>382</v>
      </c>
      <c r="AX12" s="179" t="s">
        <v>53</v>
      </c>
    </row>
    <row r="13" spans="1:51">
      <c r="A13" s="303"/>
      <c r="B13" s="310"/>
      <c r="C13" s="307" t="s">
        <v>43</v>
      </c>
      <c r="D13" s="330">
        <v>120</v>
      </c>
      <c r="E13" s="307"/>
      <c r="F13" s="307" t="str">
        <f>IF(R13&gt;0,"&lt;&lt; ENTER LOW VOLTAGE"," ")</f>
        <v xml:space="preserve"> </v>
      </c>
      <c r="G13" s="311"/>
      <c r="H13" s="307"/>
      <c r="I13" s="310"/>
      <c r="J13" s="307" t="s">
        <v>78</v>
      </c>
      <c r="K13" s="307" t="str">
        <f>IF(AJ13&gt;0," ERROR IN SUB PANEL",Import!E11)</f>
        <v xml:space="preserve"> DP</v>
      </c>
      <c r="L13" s="311"/>
      <c r="M13" s="307"/>
      <c r="N13" s="307" t="str">
        <f t="shared" si="2"/>
        <v xml:space="preserve"> </v>
      </c>
      <c r="O13" s="303"/>
      <c r="P13" s="319"/>
      <c r="R13" s="179">
        <f>IF(ISBLANK(D13)=TRUE,1,IF(D13=D12,1,IF(D13&gt;D12,1,IF(D13=0,1,0))))</f>
        <v>0</v>
      </c>
      <c r="AE13" s="179" t="s">
        <v>73</v>
      </c>
      <c r="AF13" s="178">
        <v>5</v>
      </c>
      <c r="AG13" s="179" t="str">
        <f t="shared" si="0"/>
        <v>DP5</v>
      </c>
      <c r="AH13" s="179">
        <f t="shared" si="1"/>
        <v>1</v>
      </c>
      <c r="AI13" s="179">
        <f>'Update Check'!D11</f>
        <v>0</v>
      </c>
      <c r="AJ13" s="319">
        <f>Import!D11</f>
        <v>0</v>
      </c>
      <c r="AK13" s="319"/>
      <c r="AN13" s="179">
        <f t="shared" si="3"/>
        <v>4</v>
      </c>
      <c r="AO13" s="241" t="s">
        <v>326</v>
      </c>
      <c r="AP13" s="241">
        <v>8</v>
      </c>
      <c r="AQ13" s="242" t="str">
        <f t="shared" si="4"/>
        <v>#8</v>
      </c>
      <c r="AR13" s="426" t="s">
        <v>382</v>
      </c>
      <c r="AS13" s="426" t="s">
        <v>382</v>
      </c>
      <c r="AX13" s="240" t="str">
        <f>AX7</f>
        <v>#4</v>
      </c>
      <c r="AY13" s="240"/>
    </row>
    <row r="14" spans="1:51">
      <c r="A14" s="303"/>
      <c r="B14" s="313"/>
      <c r="C14" s="314"/>
      <c r="D14" s="321"/>
      <c r="E14" s="314"/>
      <c r="F14" s="314"/>
      <c r="G14" s="316"/>
      <c r="H14" s="307"/>
      <c r="I14" s="310"/>
      <c r="J14" s="307" t="s">
        <v>79</v>
      </c>
      <c r="K14" s="307" t="str">
        <f>IF(AJ14&gt;0," ERROR IN SUB PANEL",Import!E12)</f>
        <v xml:space="preserve"> DP</v>
      </c>
      <c r="L14" s="311"/>
      <c r="M14" s="307"/>
      <c r="N14" s="307" t="str">
        <f t="shared" si="2"/>
        <v xml:space="preserve"> </v>
      </c>
      <c r="O14" s="303"/>
      <c r="R14" s="179">
        <f>IF(ISBLANK(K4)=TRUE,1,0)</f>
        <v>0</v>
      </c>
      <c r="AE14" s="179" t="s">
        <v>73</v>
      </c>
      <c r="AF14" s="178">
        <v>6</v>
      </c>
      <c r="AG14" s="179" t="str">
        <f t="shared" si="0"/>
        <v>DP6</v>
      </c>
      <c r="AH14" s="179">
        <f t="shared" si="1"/>
        <v>1</v>
      </c>
      <c r="AI14" s="179">
        <f>'Update Check'!D12</f>
        <v>0</v>
      </c>
      <c r="AJ14" s="319">
        <f>Import!D12</f>
        <v>0</v>
      </c>
      <c r="AN14" s="179">
        <f t="shared" si="3"/>
        <v>5</v>
      </c>
      <c r="AO14" s="241" t="s">
        <v>328</v>
      </c>
      <c r="AP14" s="241">
        <v>9</v>
      </c>
      <c r="AQ14" s="242" t="str">
        <f t="shared" si="4"/>
        <v>#6</v>
      </c>
      <c r="AR14" s="427" t="s">
        <v>322</v>
      </c>
      <c r="AS14" s="426" t="s">
        <v>382</v>
      </c>
      <c r="AX14" s="240" t="s">
        <v>487</v>
      </c>
    </row>
    <row r="15" spans="1:51">
      <c r="A15" s="303"/>
      <c r="B15" s="307"/>
      <c r="C15" s="307"/>
      <c r="D15" s="322"/>
      <c r="E15" s="307"/>
      <c r="F15" s="307"/>
      <c r="G15" s="307"/>
      <c r="H15" s="307"/>
      <c r="I15" s="310"/>
      <c r="J15" s="307" t="s">
        <v>80</v>
      </c>
      <c r="K15" s="307" t="str">
        <f>IF(AJ15&gt;0," ERROR IN SUB PANEL",Import!E13)</f>
        <v xml:space="preserve"> ERROR IN SUB PANEL</v>
      </c>
      <c r="L15" s="311"/>
      <c r="M15" s="307"/>
      <c r="N15" s="307" t="str">
        <f t="shared" si="2"/>
        <v xml:space="preserve"> </v>
      </c>
      <c r="O15" s="303"/>
      <c r="R15" s="179">
        <f>IF(OR(D10=2002,D10=2005,D10=2008,D10=2011,D10=2014),0,1)</f>
        <v>0</v>
      </c>
      <c r="AE15" s="179" t="s">
        <v>73</v>
      </c>
      <c r="AF15" s="178">
        <v>7</v>
      </c>
      <c r="AG15" s="179" t="str">
        <f t="shared" si="0"/>
        <v>DP7</v>
      </c>
      <c r="AH15" s="179">
        <f t="shared" si="1"/>
        <v>0</v>
      </c>
      <c r="AI15" s="179">
        <f>'Update Check'!D13</f>
        <v>0</v>
      </c>
      <c r="AJ15" s="319" t="str">
        <f>Import!D13</f>
        <v xml:space="preserve"> </v>
      </c>
      <c r="AN15" s="179">
        <f t="shared" si="3"/>
        <v>6</v>
      </c>
      <c r="AO15" s="241" t="s">
        <v>329</v>
      </c>
      <c r="AP15" s="241">
        <v>10</v>
      </c>
      <c r="AQ15" s="242" t="str">
        <f t="shared" si="4"/>
        <v>#6</v>
      </c>
      <c r="AR15" s="427" t="s">
        <v>322</v>
      </c>
      <c r="AS15" s="426" t="s">
        <v>382</v>
      </c>
      <c r="AX15" s="179" t="s">
        <v>256</v>
      </c>
    </row>
    <row r="16" spans="1:51">
      <c r="A16" s="303"/>
      <c r="B16" s="307" t="s">
        <v>443</v>
      </c>
      <c r="C16" s="307"/>
      <c r="D16" s="361" t="str">
        <f>IF(R18=22,"MAIN BREAKER REQUIRED WITH 7 OR MORE SWITCHES","")</f>
        <v/>
      </c>
      <c r="E16" s="307"/>
      <c r="F16" s="307"/>
      <c r="G16" s="307"/>
      <c r="H16" s="307"/>
      <c r="I16" s="310"/>
      <c r="J16" s="307" t="s">
        <v>81</v>
      </c>
      <c r="K16" s="307" t="str">
        <f>IF(AJ16&gt;0," ERROR IN SUB PANEL",Import!E14)</f>
        <v xml:space="preserve"> ERROR IN SUB PANEL</v>
      </c>
      <c r="L16" s="311"/>
      <c r="M16" s="307"/>
      <c r="N16" s="307" t="str">
        <f t="shared" si="2"/>
        <v xml:space="preserve"> </v>
      </c>
      <c r="O16" s="303"/>
      <c r="AE16" s="179" t="s">
        <v>73</v>
      </c>
      <c r="AF16" s="178">
        <v>8</v>
      </c>
      <c r="AG16" s="179" t="str">
        <f t="shared" si="0"/>
        <v>DP8</v>
      </c>
      <c r="AH16" s="179">
        <f t="shared" si="1"/>
        <v>0</v>
      </c>
      <c r="AI16" s="179">
        <f>'Update Check'!D14</f>
        <v>0</v>
      </c>
      <c r="AJ16" s="319" t="str">
        <f>Import!D14</f>
        <v xml:space="preserve"> </v>
      </c>
      <c r="AN16" s="179">
        <f t="shared" si="3"/>
        <v>7</v>
      </c>
      <c r="AO16" s="241" t="s">
        <v>330</v>
      </c>
      <c r="AP16" s="241">
        <v>11</v>
      </c>
      <c r="AQ16" s="242" t="str">
        <f t="shared" si="4"/>
        <v>#6</v>
      </c>
      <c r="AR16" s="427" t="s">
        <v>322</v>
      </c>
      <c r="AS16" s="427" t="s">
        <v>322</v>
      </c>
      <c r="AX16" s="179" t="str">
        <f>CONCATENATE(AX12,AX13,AX14,AX15)</f>
        <v xml:space="preserve"> #4 CU - </v>
      </c>
    </row>
    <row r="17" spans="1:45">
      <c r="A17" s="303"/>
      <c r="B17" s="304"/>
      <c r="C17" s="305"/>
      <c r="D17" s="323"/>
      <c r="E17" s="305"/>
      <c r="F17" s="305"/>
      <c r="G17" s="306"/>
      <c r="H17" s="307"/>
      <c r="I17" s="310"/>
      <c r="J17" s="307" t="s">
        <v>82</v>
      </c>
      <c r="K17" s="307" t="str">
        <f>IF(AJ17&gt;0," ERROR IN SUB PANEL",Import!E15)</f>
        <v xml:space="preserve"> ERROR IN SUB PANEL</v>
      </c>
      <c r="L17" s="311"/>
      <c r="M17" s="307"/>
      <c r="N17" s="307" t="str">
        <f t="shared" si="2"/>
        <v xml:space="preserve"> </v>
      </c>
      <c r="O17" s="303"/>
      <c r="V17" s="324"/>
      <c r="AE17" s="179" t="s">
        <v>73</v>
      </c>
      <c r="AF17" s="178">
        <v>9</v>
      </c>
      <c r="AG17" s="179" t="str">
        <f t="shared" si="0"/>
        <v>DP9</v>
      </c>
      <c r="AH17" s="179">
        <f t="shared" si="1"/>
        <v>0</v>
      </c>
      <c r="AI17" s="179">
        <f>'Update Check'!D15</f>
        <v>0</v>
      </c>
      <c r="AJ17" s="319" t="str">
        <f>Import!D15</f>
        <v xml:space="preserve"> </v>
      </c>
      <c r="AN17" s="179">
        <f t="shared" si="3"/>
        <v>8</v>
      </c>
      <c r="AO17" s="241" t="s">
        <v>333</v>
      </c>
      <c r="AP17" s="241">
        <v>12</v>
      </c>
      <c r="AQ17" s="242" t="str">
        <f t="shared" si="4"/>
        <v>#4</v>
      </c>
      <c r="AR17" s="428" t="s">
        <v>325</v>
      </c>
      <c r="AS17" s="427" t="s">
        <v>322</v>
      </c>
    </row>
    <row r="18" spans="1:45">
      <c r="A18" s="303"/>
      <c r="B18" s="310"/>
      <c r="C18" s="307" t="s">
        <v>2</v>
      </c>
      <c r="D18" s="330" t="s">
        <v>3</v>
      </c>
      <c r="E18" s="307"/>
      <c r="F18" s="307" t="str">
        <f>IF(R18&gt;0,"&lt;&lt; SELECT YES OR NO"," ")</f>
        <v xml:space="preserve"> </v>
      </c>
      <c r="G18" s="311"/>
      <c r="H18" s="307"/>
      <c r="I18" s="310"/>
      <c r="J18" s="307" t="s">
        <v>83</v>
      </c>
      <c r="K18" s="307" t="str">
        <f>IF(AJ18&gt;0," ERROR IN SUB PANEL",Import!E16)</f>
        <v xml:space="preserve"> ERROR IN SUB PANEL</v>
      </c>
      <c r="L18" s="311"/>
      <c r="M18" s="307"/>
      <c r="N18" s="307" t="str">
        <f t="shared" si="2"/>
        <v xml:space="preserve"> </v>
      </c>
      <c r="O18" s="303"/>
      <c r="P18" s="319"/>
      <c r="R18" s="179">
        <f>IF(ISBLANK(D18)=TRUE,1,IF(AND(D18="NO",T4&gt;6),22,0))</f>
        <v>0</v>
      </c>
      <c r="AE18" s="179" t="s">
        <v>73</v>
      </c>
      <c r="AF18" s="178">
        <v>10</v>
      </c>
      <c r="AG18" s="179" t="str">
        <f t="shared" si="0"/>
        <v>DP10</v>
      </c>
      <c r="AH18" s="179">
        <f t="shared" si="1"/>
        <v>0</v>
      </c>
      <c r="AI18" s="179">
        <f>'Update Check'!D16</f>
        <v>0</v>
      </c>
      <c r="AJ18" s="319" t="str">
        <f>Import!D16</f>
        <v xml:space="preserve"> </v>
      </c>
      <c r="AN18" s="179">
        <f t="shared" si="3"/>
        <v>9</v>
      </c>
      <c r="AO18" s="242" t="s">
        <v>333</v>
      </c>
      <c r="AP18" s="241">
        <v>12</v>
      </c>
      <c r="AQ18" s="242" t="str">
        <f t="shared" si="4"/>
        <v>#4</v>
      </c>
      <c r="AR18" s="428" t="s">
        <v>325</v>
      </c>
      <c r="AS18" s="428" t="s">
        <v>325</v>
      </c>
    </row>
    <row r="19" spans="1:45">
      <c r="A19" s="303"/>
      <c r="B19" s="310"/>
      <c r="C19" s="307" t="s">
        <v>46</v>
      </c>
      <c r="D19" s="330">
        <v>100</v>
      </c>
      <c r="E19" s="307"/>
      <c r="F19" s="307" t="str">
        <f>IF(R19&gt;0,"&lt;&lt; ENTER AMPS",IF(OR(S34=22,S19=99),"&lt;&lt; CHECK ENTRY"," "))</f>
        <v xml:space="preserve"> </v>
      </c>
      <c r="G19" s="311"/>
      <c r="H19" s="307"/>
      <c r="I19" s="310"/>
      <c r="J19" s="307" t="s">
        <v>84</v>
      </c>
      <c r="K19" s="307" t="str">
        <f>IF(AJ19&gt;0," ERROR IN SUB PANEL",Import!E17)</f>
        <v xml:space="preserve"> ERROR IN SUB PANEL</v>
      </c>
      <c r="L19" s="311"/>
      <c r="M19" s="307"/>
      <c r="N19" s="307" t="str">
        <f t="shared" si="2"/>
        <v xml:space="preserve"> </v>
      </c>
      <c r="O19" s="303"/>
      <c r="P19" s="319"/>
      <c r="R19" s="179">
        <f>IF(ISBLANK(D19)=TRUE,1,0)</f>
        <v>0</v>
      </c>
      <c r="S19" s="179">
        <f>IF(AND(D19&gt;1200,D33="AUTO"),99,0)</f>
        <v>0</v>
      </c>
      <c r="AE19" s="179" t="s">
        <v>73</v>
      </c>
      <c r="AF19" s="178">
        <v>11</v>
      </c>
      <c r="AG19" s="179" t="str">
        <f t="shared" si="0"/>
        <v>DP11</v>
      </c>
      <c r="AH19" s="179">
        <f t="shared" si="1"/>
        <v>0</v>
      </c>
      <c r="AI19" s="179">
        <f>'Update Check'!D17</f>
        <v>0</v>
      </c>
      <c r="AJ19" s="319" t="str">
        <f>Import!D17</f>
        <v xml:space="preserve"> </v>
      </c>
      <c r="AN19" s="179">
        <f t="shared" si="3"/>
        <v>10</v>
      </c>
      <c r="AO19" s="242" t="s">
        <v>334</v>
      </c>
      <c r="AP19" s="241">
        <v>12</v>
      </c>
      <c r="AQ19" s="242" t="str">
        <f t="shared" si="4"/>
        <v>#4</v>
      </c>
      <c r="AR19" s="428" t="s">
        <v>325</v>
      </c>
      <c r="AS19" s="428" t="s">
        <v>325</v>
      </c>
    </row>
    <row r="20" spans="1:45">
      <c r="A20" s="303"/>
      <c r="B20" s="310"/>
      <c r="C20" s="307" t="s">
        <v>31</v>
      </c>
      <c r="D20" s="330" t="s">
        <v>177</v>
      </c>
      <c r="E20" s="307"/>
      <c r="F20" s="307" t="str">
        <f>IF(AJ39&gt;0," ERROR IN HOUSE PANEL",IF(R20&gt;0,"&lt;&lt; SELECT YES OR NO",IF(OR(R11&gt;0,R12&gt;0,R13&gt;0),"",IF(Y8&gt;0,"&lt;&lt; UPDATE"," "))))</f>
        <v xml:space="preserve"> </v>
      </c>
      <c r="G20" s="311"/>
      <c r="H20" s="307"/>
      <c r="I20" s="310"/>
      <c r="J20" s="307" t="s">
        <v>85</v>
      </c>
      <c r="K20" s="307" t="str">
        <f>IF(AJ20&gt;0," ERROR IN SUB PANEL",Import!E18)</f>
        <v xml:space="preserve"> ERROR IN SUB PANEL</v>
      </c>
      <c r="L20" s="311"/>
      <c r="M20" s="307"/>
      <c r="N20" s="307" t="str">
        <f t="shared" si="2"/>
        <v xml:space="preserve"> </v>
      </c>
      <c r="O20" s="303"/>
      <c r="P20" s="319"/>
      <c r="R20" s="179">
        <f>IF(ISBLANK(D20)=TRUE,1,IF(AJ39&gt;0,99,0))</f>
        <v>0</v>
      </c>
      <c r="S20" s="179">
        <f>IF(D33="MANUAL",0,IF(R14&gt;0,0,IF(R12&gt;0,0,IF(Calcs!E31&gt;1200,88,0))))</f>
        <v>0</v>
      </c>
      <c r="U20" s="324"/>
      <c r="AE20" s="179" t="s">
        <v>73</v>
      </c>
      <c r="AF20" s="178">
        <v>12</v>
      </c>
      <c r="AG20" s="179" t="str">
        <f t="shared" si="0"/>
        <v>DP12</v>
      </c>
      <c r="AH20" s="179">
        <f t="shared" si="1"/>
        <v>0</v>
      </c>
      <c r="AI20" s="179">
        <f>'Update Check'!D18</f>
        <v>0</v>
      </c>
      <c r="AJ20" s="319" t="str">
        <f>Import!D18</f>
        <v xml:space="preserve"> </v>
      </c>
      <c r="AN20" s="179">
        <f t="shared" si="3"/>
        <v>11</v>
      </c>
      <c r="AO20" s="242" t="s">
        <v>336</v>
      </c>
      <c r="AP20" s="241">
        <v>12</v>
      </c>
      <c r="AQ20" s="242" t="str">
        <f t="shared" si="4"/>
        <v>#4</v>
      </c>
      <c r="AR20" s="428" t="s">
        <v>325</v>
      </c>
      <c r="AS20" s="428" t="s">
        <v>325</v>
      </c>
    </row>
    <row r="21" spans="1:45">
      <c r="A21" s="303"/>
      <c r="B21" s="313"/>
      <c r="C21" s="314"/>
      <c r="D21" s="314"/>
      <c r="E21" s="314"/>
      <c r="F21" s="314"/>
      <c r="G21" s="316"/>
      <c r="H21" s="307"/>
      <c r="I21" s="310"/>
      <c r="J21" s="307" t="s">
        <v>86</v>
      </c>
      <c r="K21" s="307" t="str">
        <f>IF(AJ21&gt;0," ERROR IN SUB PANEL",Import!E19)</f>
        <v xml:space="preserve"> ERROR IN SUB PANEL</v>
      </c>
      <c r="L21" s="311"/>
      <c r="M21" s="307"/>
      <c r="N21" s="307" t="str">
        <f t="shared" si="2"/>
        <v xml:space="preserve"> </v>
      </c>
      <c r="O21" s="303"/>
      <c r="P21" s="319"/>
      <c r="AE21" s="179" t="s">
        <v>73</v>
      </c>
      <c r="AF21" s="178">
        <v>13</v>
      </c>
      <c r="AG21" s="179" t="str">
        <f t="shared" si="0"/>
        <v>DP13</v>
      </c>
      <c r="AH21" s="179">
        <f t="shared" si="1"/>
        <v>0</v>
      </c>
      <c r="AI21" s="179">
        <f>'Update Check'!D19</f>
        <v>0</v>
      </c>
      <c r="AJ21" s="319" t="str">
        <f>Import!D19</f>
        <v xml:space="preserve"> </v>
      </c>
      <c r="AN21" s="179">
        <f t="shared" si="3"/>
        <v>12</v>
      </c>
      <c r="AO21" s="242" t="s">
        <v>337</v>
      </c>
      <c r="AP21" s="241">
        <v>12</v>
      </c>
      <c r="AQ21" s="242" t="str">
        <f t="shared" si="4"/>
        <v>#4</v>
      </c>
      <c r="AR21" s="428" t="s">
        <v>325</v>
      </c>
      <c r="AS21" s="428" t="s">
        <v>325</v>
      </c>
    </row>
    <row r="22" spans="1:45">
      <c r="A22" s="303"/>
      <c r="B22" s="303"/>
      <c r="C22" s="307"/>
      <c r="D22" s="325"/>
      <c r="E22" s="307"/>
      <c r="F22" s="307"/>
      <c r="G22" s="303"/>
      <c r="H22" s="303"/>
      <c r="I22" s="310"/>
      <c r="J22" s="307" t="s">
        <v>87</v>
      </c>
      <c r="K22" s="307" t="str">
        <f>IF(AJ22&gt;0," ERROR IN SUB PANEL",Import!E20)</f>
        <v xml:space="preserve"> ERROR IN SUB PANEL</v>
      </c>
      <c r="L22" s="311"/>
      <c r="M22" s="307"/>
      <c r="N22" s="307" t="str">
        <f t="shared" si="2"/>
        <v xml:space="preserve"> </v>
      </c>
      <c r="O22" s="303"/>
      <c r="P22" s="319"/>
      <c r="AE22" s="179" t="s">
        <v>73</v>
      </c>
      <c r="AF22" s="178">
        <v>14</v>
      </c>
      <c r="AG22" s="179" t="str">
        <f t="shared" si="0"/>
        <v>DP14</v>
      </c>
      <c r="AH22" s="179">
        <f t="shared" si="1"/>
        <v>0</v>
      </c>
      <c r="AI22" s="179">
        <f>'Update Check'!D20</f>
        <v>0</v>
      </c>
      <c r="AJ22" s="319" t="str">
        <f>Import!D20</f>
        <v xml:space="preserve"> </v>
      </c>
      <c r="AN22" s="179">
        <f t="shared" si="3"/>
        <v>13</v>
      </c>
      <c r="AO22" s="242" t="s">
        <v>339</v>
      </c>
      <c r="AP22" s="241">
        <v>12</v>
      </c>
      <c r="AQ22" s="242" t="str">
        <f t="shared" si="4"/>
        <v>#4</v>
      </c>
      <c r="AR22" s="428" t="s">
        <v>325</v>
      </c>
      <c r="AS22" s="428" t="s">
        <v>325</v>
      </c>
    </row>
    <row r="23" spans="1:45">
      <c r="A23" s="303"/>
      <c r="B23" s="307" t="s">
        <v>547</v>
      </c>
      <c r="C23" s="307"/>
      <c r="D23" s="325"/>
      <c r="E23" s="307"/>
      <c r="F23" s="307"/>
      <c r="G23" s="307"/>
      <c r="H23" s="307"/>
      <c r="I23" s="310"/>
      <c r="J23" s="307" t="s">
        <v>88</v>
      </c>
      <c r="K23" s="307" t="str">
        <f>IF(AJ23&gt;0," ERROR IN SUB PANEL",Import!E21)</f>
        <v xml:space="preserve"> ERROR IN SUB PANEL</v>
      </c>
      <c r="L23" s="311"/>
      <c r="M23" s="307"/>
      <c r="N23" s="307" t="str">
        <f t="shared" si="2"/>
        <v xml:space="preserve"> </v>
      </c>
      <c r="O23" s="303"/>
      <c r="P23" s="319"/>
      <c r="AE23" s="179" t="s">
        <v>73</v>
      </c>
      <c r="AF23" s="178">
        <v>15</v>
      </c>
      <c r="AG23" s="179" t="str">
        <f t="shared" si="0"/>
        <v>DP15</v>
      </c>
      <c r="AH23" s="179">
        <f t="shared" si="1"/>
        <v>0</v>
      </c>
      <c r="AI23" s="179">
        <f>'Update Check'!D21</f>
        <v>0</v>
      </c>
      <c r="AJ23" s="319" t="str">
        <f>Import!D21</f>
        <v xml:space="preserve"> </v>
      </c>
      <c r="AN23" s="179">
        <f t="shared" si="3"/>
        <v>14</v>
      </c>
      <c r="AO23" s="242" t="s">
        <v>340</v>
      </c>
      <c r="AP23" s="241">
        <v>12</v>
      </c>
      <c r="AQ23" s="242" t="str">
        <f t="shared" si="4"/>
        <v>#4</v>
      </c>
      <c r="AR23" s="428" t="s">
        <v>325</v>
      </c>
      <c r="AS23" s="428" t="s">
        <v>325</v>
      </c>
    </row>
    <row r="24" spans="1:45">
      <c r="A24" s="303"/>
      <c r="B24" s="304"/>
      <c r="C24" s="305"/>
      <c r="D24" s="326"/>
      <c r="E24" s="305"/>
      <c r="F24" s="305"/>
      <c r="G24" s="306"/>
      <c r="H24" s="307"/>
      <c r="I24" s="310"/>
      <c r="J24" s="307" t="s">
        <v>89</v>
      </c>
      <c r="K24" s="307" t="str">
        <f>IF(AJ24&gt;0," ERROR IN SUB PANEL",Import!E22)</f>
        <v xml:space="preserve"> ERROR IN SUB PANEL</v>
      </c>
      <c r="L24" s="311"/>
      <c r="M24" s="307"/>
      <c r="N24" s="307" t="str">
        <f t="shared" si="2"/>
        <v xml:space="preserve"> </v>
      </c>
      <c r="O24" s="303"/>
      <c r="AE24" s="179" t="s">
        <v>73</v>
      </c>
      <c r="AF24" s="178">
        <v>16</v>
      </c>
      <c r="AG24" s="179" t="str">
        <f t="shared" si="0"/>
        <v>DP16</v>
      </c>
      <c r="AH24" s="179">
        <f t="shared" si="1"/>
        <v>0</v>
      </c>
      <c r="AI24" s="179">
        <f>'Update Check'!D22</f>
        <v>0</v>
      </c>
      <c r="AJ24" s="319" t="str">
        <f>Import!D22</f>
        <v xml:space="preserve"> </v>
      </c>
      <c r="AN24" s="179">
        <f t="shared" si="3"/>
        <v>15</v>
      </c>
      <c r="AO24" s="242" t="s">
        <v>341</v>
      </c>
      <c r="AP24" s="242">
        <v>12</v>
      </c>
      <c r="AQ24" s="242" t="str">
        <f t="shared" si="4"/>
        <v>#4</v>
      </c>
      <c r="AR24" s="428" t="s">
        <v>325</v>
      </c>
      <c r="AS24" s="428" t="s">
        <v>325</v>
      </c>
    </row>
    <row r="25" spans="1:45">
      <c r="A25" s="303"/>
      <c r="B25" s="310"/>
      <c r="C25" s="307" t="s">
        <v>56</v>
      </c>
      <c r="D25" s="330" t="s">
        <v>3</v>
      </c>
      <c r="E25" s="307"/>
      <c r="F25" s="307" t="str">
        <f>IF(R25&gt;0,"&lt;&lt; SELECT YES OR NO"," ")</f>
        <v xml:space="preserve"> </v>
      </c>
      <c r="G25" s="311"/>
      <c r="H25" s="307"/>
      <c r="I25" s="310"/>
      <c r="J25" s="307" t="s">
        <v>90</v>
      </c>
      <c r="K25" s="307" t="str">
        <f>IF(AJ25&gt;0," ERROR IN SUB PANEL",Import!E23)</f>
        <v xml:space="preserve"> ERROR IN SUB PANEL</v>
      </c>
      <c r="L25" s="311"/>
      <c r="M25" s="307"/>
      <c r="N25" s="307" t="str">
        <f t="shared" si="2"/>
        <v xml:space="preserve"> </v>
      </c>
      <c r="O25" s="303"/>
      <c r="R25" s="179">
        <f>IF(ISBLANK(D25)=TRUE,1,0)</f>
        <v>0</v>
      </c>
      <c r="AE25" s="179" t="s">
        <v>73</v>
      </c>
      <c r="AF25" s="178">
        <v>17</v>
      </c>
      <c r="AG25" s="179" t="str">
        <f t="shared" si="0"/>
        <v>DP17</v>
      </c>
      <c r="AH25" s="179">
        <f t="shared" si="1"/>
        <v>0</v>
      </c>
      <c r="AI25" s="179">
        <f>'Update Check'!D23</f>
        <v>0</v>
      </c>
      <c r="AJ25" s="319" t="str">
        <f>Import!D23</f>
        <v xml:space="preserve"> </v>
      </c>
      <c r="AN25" s="179">
        <f t="shared" si="3"/>
        <v>16</v>
      </c>
      <c r="AO25" s="242" t="s">
        <v>447</v>
      </c>
      <c r="AP25" s="242">
        <v>12</v>
      </c>
      <c r="AQ25" s="242" t="str">
        <f t="shared" si="4"/>
        <v>#4</v>
      </c>
      <c r="AR25" s="428" t="s">
        <v>325</v>
      </c>
      <c r="AS25" s="428" t="s">
        <v>325</v>
      </c>
    </row>
    <row r="26" spans="1:45">
      <c r="A26" s="303"/>
      <c r="B26" s="310"/>
      <c r="C26" s="307" t="s">
        <v>50</v>
      </c>
      <c r="D26" s="330" t="s">
        <v>3</v>
      </c>
      <c r="E26" s="307"/>
      <c r="F26" s="307" t="str">
        <f>IF(R26&gt;0,"&lt;&lt; SELECT YES OR NO"," ")</f>
        <v xml:space="preserve"> </v>
      </c>
      <c r="G26" s="311"/>
      <c r="H26" s="307"/>
      <c r="I26" s="310"/>
      <c r="J26" s="307" t="s">
        <v>91</v>
      </c>
      <c r="K26" s="307" t="str">
        <f>IF(AJ26&gt;0," ERROR IN SUB PANEL",Import!E24)</f>
        <v xml:space="preserve"> ERROR IN SUB PANEL</v>
      </c>
      <c r="L26" s="311"/>
      <c r="M26" s="307"/>
      <c r="N26" s="307" t="str">
        <f t="shared" si="2"/>
        <v xml:space="preserve"> </v>
      </c>
      <c r="O26" s="303"/>
      <c r="R26" s="179">
        <f>IF(ISBLANK(D26)=TRUE,1,0)</f>
        <v>0</v>
      </c>
      <c r="AE26" s="179" t="s">
        <v>73</v>
      </c>
      <c r="AF26" s="178">
        <v>18</v>
      </c>
      <c r="AG26" s="179" t="str">
        <f t="shared" si="0"/>
        <v>DP18</v>
      </c>
      <c r="AH26" s="179">
        <f t="shared" si="1"/>
        <v>0</v>
      </c>
      <c r="AI26" s="179">
        <f>'Update Check'!D24</f>
        <v>0</v>
      </c>
      <c r="AJ26" s="319" t="str">
        <f>Import!D24</f>
        <v xml:space="preserve"> </v>
      </c>
      <c r="AN26" s="179">
        <f t="shared" si="3"/>
        <v>17</v>
      </c>
      <c r="AO26" s="242" t="s">
        <v>448</v>
      </c>
      <c r="AP26" s="242">
        <v>12</v>
      </c>
      <c r="AQ26" s="242" t="str">
        <f t="shared" si="4"/>
        <v>#4</v>
      </c>
      <c r="AR26" s="428" t="s">
        <v>325</v>
      </c>
      <c r="AS26" s="428" t="s">
        <v>325</v>
      </c>
    </row>
    <row r="27" spans="1:45">
      <c r="A27" s="303"/>
      <c r="B27" s="310"/>
      <c r="C27" s="307"/>
      <c r="D27" s="301"/>
      <c r="E27" s="307"/>
      <c r="F27" s="307"/>
      <c r="G27" s="311"/>
      <c r="H27" s="307"/>
      <c r="I27" s="310"/>
      <c r="J27" s="307" t="s">
        <v>92</v>
      </c>
      <c r="K27" s="307" t="str">
        <f>IF(AJ27&gt;0," ERROR IN SUB PANEL",Import!E25)</f>
        <v xml:space="preserve"> ERROR IN SUB PANEL</v>
      </c>
      <c r="L27" s="311"/>
      <c r="M27" s="307"/>
      <c r="N27" s="307" t="str">
        <f t="shared" si="2"/>
        <v xml:space="preserve"> </v>
      </c>
      <c r="O27" s="303"/>
      <c r="S27" s="179" t="s">
        <v>53</v>
      </c>
      <c r="T27" s="179">
        <f>ROUND(D27/1000,1)</f>
        <v>0</v>
      </c>
      <c r="U27" s="179" t="s">
        <v>52</v>
      </c>
      <c r="V27" s="179" t="str">
        <f>CONCATENATE(S27,T27,U27)</f>
        <v xml:space="preserve"> 0 K</v>
      </c>
      <c r="AE27" s="179" t="s">
        <v>73</v>
      </c>
      <c r="AF27" s="178">
        <v>19</v>
      </c>
      <c r="AG27" s="179" t="str">
        <f t="shared" si="0"/>
        <v>DP19</v>
      </c>
      <c r="AH27" s="179">
        <f t="shared" si="1"/>
        <v>0</v>
      </c>
      <c r="AI27" s="179">
        <f>'Update Check'!D25</f>
        <v>0</v>
      </c>
      <c r="AJ27" s="319" t="str">
        <f>Import!D25</f>
        <v xml:space="preserve"> </v>
      </c>
      <c r="AN27" s="179">
        <f t="shared" si="3"/>
        <v>18</v>
      </c>
      <c r="AO27" s="243" t="s">
        <v>449</v>
      </c>
      <c r="AP27" s="243">
        <v>12</v>
      </c>
      <c r="AQ27" s="243" t="str">
        <f t="shared" si="4"/>
        <v>#4</v>
      </c>
      <c r="AR27" s="429" t="s">
        <v>325</v>
      </c>
      <c r="AS27" s="429" t="s">
        <v>325</v>
      </c>
    </row>
    <row r="28" spans="1:45">
      <c r="A28" s="303"/>
      <c r="B28" s="310"/>
      <c r="C28" s="307" t="s">
        <v>546</v>
      </c>
      <c r="D28" s="330" t="s">
        <v>3</v>
      </c>
      <c r="E28" s="307"/>
      <c r="F28" s="307" t="str">
        <f>IF(R28&gt;0,"&lt;&lt; SELECT YES OR NO"," ")</f>
        <v xml:space="preserve"> </v>
      </c>
      <c r="G28" s="311"/>
      <c r="H28" s="307"/>
      <c r="I28" s="310"/>
      <c r="J28" s="307" t="s">
        <v>93</v>
      </c>
      <c r="K28" s="307" t="str">
        <f>IF(AJ28&gt;0," ERROR IN SUB PANEL",Import!E26)</f>
        <v xml:space="preserve"> ERROR IN SUB PANEL</v>
      </c>
      <c r="L28" s="311"/>
      <c r="M28" s="307"/>
      <c r="N28" s="307" t="str">
        <f t="shared" si="2"/>
        <v xml:space="preserve"> </v>
      </c>
      <c r="O28" s="303"/>
      <c r="R28" s="179">
        <f>IF(D27="NO",0,IF(ISBLANK(D28)=TRUE,1,0))</f>
        <v>0</v>
      </c>
      <c r="T28" s="327">
        <f>D35</f>
        <v>50</v>
      </c>
      <c r="U28" s="328" t="s">
        <v>542</v>
      </c>
      <c r="V28" s="179" t="str">
        <f>CONCATENATE(S29,T28,U28)</f>
        <v xml:space="preserve"> 50'</v>
      </c>
      <c r="AE28" s="179" t="s">
        <v>73</v>
      </c>
      <c r="AF28" s="178">
        <v>20</v>
      </c>
      <c r="AG28" s="179" t="str">
        <f t="shared" si="0"/>
        <v>DP20</v>
      </c>
      <c r="AH28" s="179">
        <f t="shared" si="1"/>
        <v>0</v>
      </c>
      <c r="AI28" s="179">
        <f>'Update Check'!D26</f>
        <v>0</v>
      </c>
      <c r="AJ28" s="319" t="str">
        <f>Import!D26</f>
        <v xml:space="preserve"> </v>
      </c>
    </row>
    <row r="29" spans="1:45">
      <c r="A29" s="303"/>
      <c r="B29" s="313"/>
      <c r="C29" s="314"/>
      <c r="D29" s="314"/>
      <c r="E29" s="314"/>
      <c r="F29" s="314"/>
      <c r="G29" s="316"/>
      <c r="H29" s="303"/>
      <c r="I29" s="310"/>
      <c r="J29" s="307" t="s">
        <v>94</v>
      </c>
      <c r="K29" s="307" t="str">
        <f>IF(AJ29&gt;0," ERROR IN SUB PANEL",Import!E27)</f>
        <v xml:space="preserve"> ERROR IN SUB PANEL</v>
      </c>
      <c r="L29" s="311"/>
      <c r="M29" s="307"/>
      <c r="N29" s="307" t="str">
        <f t="shared" si="2"/>
        <v xml:space="preserve"> </v>
      </c>
      <c r="O29" s="303"/>
      <c r="S29" s="179" t="s">
        <v>53</v>
      </c>
      <c r="AE29" s="179" t="s">
        <v>73</v>
      </c>
      <c r="AF29" s="178">
        <v>21</v>
      </c>
      <c r="AG29" s="179" t="str">
        <f t="shared" si="0"/>
        <v>DP21</v>
      </c>
      <c r="AH29" s="179">
        <f t="shared" si="1"/>
        <v>0</v>
      </c>
      <c r="AI29" s="179">
        <f>'Update Check'!D27</f>
        <v>0</v>
      </c>
      <c r="AJ29" s="319" t="str">
        <f>Import!D27</f>
        <v xml:space="preserve"> </v>
      </c>
    </row>
    <row r="30" spans="1:45">
      <c r="A30" s="303"/>
      <c r="B30" s="303"/>
      <c r="C30" s="303"/>
      <c r="D30" s="303"/>
      <c r="E30" s="303"/>
      <c r="F30" s="303"/>
      <c r="G30" s="303"/>
      <c r="H30" s="303"/>
      <c r="I30" s="310"/>
      <c r="J30" s="307" t="s">
        <v>95</v>
      </c>
      <c r="K30" s="307" t="str">
        <f>IF(AJ30&gt;0," ERROR IN SUB PANEL",Import!E28)</f>
        <v xml:space="preserve"> ERROR IN SUB PANEL</v>
      </c>
      <c r="L30" s="311"/>
      <c r="M30" s="307"/>
      <c r="N30" s="307" t="str">
        <f t="shared" si="2"/>
        <v xml:space="preserve"> </v>
      </c>
      <c r="O30" s="303"/>
      <c r="AE30" s="179" t="s">
        <v>73</v>
      </c>
      <c r="AF30" s="178">
        <v>22</v>
      </c>
      <c r="AG30" s="179" t="str">
        <f t="shared" si="0"/>
        <v>DP22</v>
      </c>
      <c r="AH30" s="179">
        <f t="shared" si="1"/>
        <v>0</v>
      </c>
      <c r="AI30" s="179">
        <f>'Update Check'!D28</f>
        <v>0</v>
      </c>
      <c r="AJ30" s="319" t="str">
        <f>Import!D28</f>
        <v xml:space="preserve"> </v>
      </c>
    </row>
    <row r="31" spans="1:45">
      <c r="A31" s="303"/>
      <c r="B31" s="303" t="s">
        <v>444</v>
      </c>
      <c r="C31" s="303"/>
      <c r="D31" s="303" t="str">
        <f>IF(S34=22,'S-Sec Cable'!J23,IF(S20=88,"CONNECTED LOAD EXCEEDS 1,200 AMPS USE MANUAL MODE",IF(S19=99,"SERVICE SIZE MAY NOT EXCEED 1,200 AMPS IN AUTO MODE",IF(S34=25,"SER CABLE IS NOT AVAILABLE IN 4-CONDUCTOR COPPER",""))))</f>
        <v/>
      </c>
      <c r="E31" s="303"/>
      <c r="F31" s="303"/>
      <c r="G31" s="303"/>
      <c r="H31" s="303"/>
      <c r="I31" s="310"/>
      <c r="J31" s="307" t="s">
        <v>96</v>
      </c>
      <c r="K31" s="307" t="str">
        <f>IF(AJ31&gt;0," ERROR IN SUB PANEL",Import!E29)</f>
        <v xml:space="preserve"> ERROR IN SUB PANEL</v>
      </c>
      <c r="L31" s="311"/>
      <c r="M31" s="307"/>
      <c r="N31" s="307" t="str">
        <f t="shared" si="2"/>
        <v xml:space="preserve"> </v>
      </c>
      <c r="O31" s="303"/>
      <c r="AE31" s="179" t="s">
        <v>73</v>
      </c>
      <c r="AF31" s="178">
        <v>23</v>
      </c>
      <c r="AG31" s="179" t="str">
        <f t="shared" si="0"/>
        <v>DP23</v>
      </c>
      <c r="AH31" s="179">
        <f t="shared" si="1"/>
        <v>0</v>
      </c>
      <c r="AI31" s="179">
        <f>'Update Check'!D29</f>
        <v>0</v>
      </c>
      <c r="AJ31" s="319" t="str">
        <f>Import!D29</f>
        <v xml:space="preserve"> </v>
      </c>
    </row>
    <row r="32" spans="1:45">
      <c r="A32" s="303"/>
      <c r="B32" s="304"/>
      <c r="C32" s="305"/>
      <c r="D32" s="305" t="str">
        <f>IF(S34=22,'S-Sec Cable'!J24,"")</f>
        <v/>
      </c>
      <c r="E32" s="305"/>
      <c r="F32" s="305"/>
      <c r="G32" s="306"/>
      <c r="H32" s="303"/>
      <c r="I32" s="310"/>
      <c r="J32" s="307" t="s">
        <v>97</v>
      </c>
      <c r="K32" s="307" t="str">
        <f>IF(AJ32&gt;0," ERROR IN SUB PANEL",Import!E30)</f>
        <v xml:space="preserve"> ERROR IN SUB PANEL</v>
      </c>
      <c r="L32" s="311"/>
      <c r="M32" s="307"/>
      <c r="N32" s="307" t="str">
        <f t="shared" si="2"/>
        <v xml:space="preserve"> </v>
      </c>
      <c r="O32" s="303"/>
      <c r="AE32" s="179" t="s">
        <v>73</v>
      </c>
      <c r="AF32" s="178">
        <v>24</v>
      </c>
      <c r="AG32" s="179" t="str">
        <f t="shared" si="0"/>
        <v>DP24</v>
      </c>
      <c r="AH32" s="179">
        <f t="shared" si="1"/>
        <v>0</v>
      </c>
      <c r="AI32" s="179">
        <f>'Update Check'!D30</f>
        <v>0</v>
      </c>
      <c r="AJ32" s="319" t="str">
        <f>Import!D30</f>
        <v xml:space="preserve"> </v>
      </c>
    </row>
    <row r="33" spans="1:37">
      <c r="A33" s="303"/>
      <c r="B33" s="310"/>
      <c r="C33" s="307" t="s">
        <v>445</v>
      </c>
      <c r="D33" s="330" t="s">
        <v>446</v>
      </c>
      <c r="E33" s="307"/>
      <c r="F33" s="307" t="str">
        <f>IF(R33&gt;0,"&lt;&lt; SELECT METHOD",IF(OR(S19=99,S20=88),"&lt;&lt; CHECK ENTRY"," "))</f>
        <v xml:space="preserve"> </v>
      </c>
      <c r="G33" s="311"/>
      <c r="H33" s="303"/>
      <c r="I33" s="310"/>
      <c r="J33" s="307" t="s">
        <v>98</v>
      </c>
      <c r="K33" s="307" t="str">
        <f>IF(AJ33&gt;0," ERROR IN SUB PANEL",Import!E31)</f>
        <v xml:space="preserve"> ERROR IN SUB PANEL</v>
      </c>
      <c r="L33" s="311"/>
      <c r="M33" s="307"/>
      <c r="N33" s="307" t="str">
        <f t="shared" si="2"/>
        <v xml:space="preserve"> </v>
      </c>
      <c r="O33" s="303"/>
      <c r="R33" s="179">
        <f>IF(ISBLANK(D33)=TRUE,1,0)</f>
        <v>0</v>
      </c>
      <c r="AE33" s="179" t="s">
        <v>73</v>
      </c>
      <c r="AF33" s="178">
        <v>25</v>
      </c>
      <c r="AG33" s="179" t="str">
        <f t="shared" si="0"/>
        <v>DP25</v>
      </c>
      <c r="AH33" s="179">
        <f t="shared" si="1"/>
        <v>0</v>
      </c>
      <c r="AI33" s="179">
        <f>'Update Check'!D31</f>
        <v>0</v>
      </c>
      <c r="AJ33" s="319" t="str">
        <f>Import!D31</f>
        <v xml:space="preserve"> </v>
      </c>
    </row>
    <row r="34" spans="1:37">
      <c r="A34" s="303"/>
      <c r="B34" s="310"/>
      <c r="C34" s="307" t="str">
        <f>IF(D33="AUTO","FEEDER TYPE"," ")</f>
        <v>FEEDER TYPE</v>
      </c>
      <c r="D34" s="330" t="s">
        <v>112</v>
      </c>
      <c r="E34" s="307"/>
      <c r="F34" s="307" t="str">
        <f>IF(R34&gt;0,"&lt;&lt; SELECT FEEDER TYPE",IF(S34=25,"&lt;&lt; CHECK ENTRY",IF(S34=22,"&lt;&lt; CHECK ENTRY","")))</f>
        <v/>
      </c>
      <c r="G34" s="311"/>
      <c r="H34" s="303"/>
      <c r="I34" s="310"/>
      <c r="J34" s="307" t="s">
        <v>99</v>
      </c>
      <c r="K34" s="307" t="str">
        <f>IF(AJ34&gt;0," ERROR IN SUB PANEL",Import!E32)</f>
        <v xml:space="preserve"> ERROR IN SUB PANEL</v>
      </c>
      <c r="L34" s="311"/>
      <c r="M34" s="307"/>
      <c r="N34" s="307" t="str">
        <f t="shared" si="2"/>
        <v xml:space="preserve"> </v>
      </c>
      <c r="O34" s="303"/>
      <c r="R34" s="179">
        <f>IF(ISBLANK(D33)=TRUE,0,IF(D33="MANUAL",0,IF(ISBLANK(D34)=TRUE,1,0)))</f>
        <v>0</v>
      </c>
      <c r="S34" s="179">
        <f>IF(D34="CONDUIT",0,IF(D33="MANUAL",0,IF(AND(D11="3Y",D34="SER",D37="CU"),25,IF('S-Sec Cable'!E18="ERROR",22,0))))</f>
        <v>0</v>
      </c>
      <c r="AE34" s="179" t="s">
        <v>73</v>
      </c>
      <c r="AF34" s="178">
        <v>26</v>
      </c>
      <c r="AG34" s="179" t="str">
        <f t="shared" si="0"/>
        <v>DP26</v>
      </c>
      <c r="AH34" s="179">
        <f t="shared" si="1"/>
        <v>0</v>
      </c>
      <c r="AI34" s="179">
        <f>'Update Check'!D32</f>
        <v>0</v>
      </c>
      <c r="AJ34" s="319" t="str">
        <f>Import!D32</f>
        <v xml:space="preserve"> </v>
      </c>
    </row>
    <row r="35" spans="1:37">
      <c r="A35" s="303"/>
      <c r="B35" s="310"/>
      <c r="C35" s="307" t="str">
        <f>IF(D33="AUTO","LENGTH"," ")</f>
        <v>LENGTH</v>
      </c>
      <c r="D35" s="331">
        <v>50</v>
      </c>
      <c r="E35" s="307"/>
      <c r="F35" s="307" t="str">
        <f>IF(R35&gt;0,"&lt;&lt; ENTER LENGTH"," ")</f>
        <v xml:space="preserve"> </v>
      </c>
      <c r="G35" s="311"/>
      <c r="H35" s="303"/>
      <c r="I35" s="310"/>
      <c r="J35" s="307" t="s">
        <v>100</v>
      </c>
      <c r="K35" s="307" t="str">
        <f>IF(AJ35&gt;0," ERROR IN SUB PANEL",Import!E33)</f>
        <v xml:space="preserve"> ERROR IN SUB PANEL</v>
      </c>
      <c r="L35" s="311"/>
      <c r="M35" s="307"/>
      <c r="N35" s="307" t="str">
        <f t="shared" si="2"/>
        <v xml:space="preserve"> </v>
      </c>
      <c r="O35" s="303"/>
      <c r="R35" s="179">
        <f>IF(ISBLANK(D33)=TRUE,0,IF(D33="MANUAL",0,IF(ISBLANK(D35)=TRUE,1,0)))</f>
        <v>0</v>
      </c>
      <c r="V35" s="178" t="s">
        <v>322</v>
      </c>
      <c r="AE35" s="179" t="s">
        <v>73</v>
      </c>
      <c r="AF35" s="178">
        <v>27</v>
      </c>
      <c r="AG35" s="179" t="str">
        <f t="shared" si="0"/>
        <v>DP27</v>
      </c>
      <c r="AH35" s="179">
        <f t="shared" si="1"/>
        <v>0</v>
      </c>
      <c r="AI35" s="179">
        <f>'Update Check'!D33</f>
        <v>0</v>
      </c>
      <c r="AJ35" s="319" t="str">
        <f>Import!D33</f>
        <v xml:space="preserve"> </v>
      </c>
    </row>
    <row r="36" spans="1:37">
      <c r="A36" s="303"/>
      <c r="B36" s="310"/>
      <c r="C36" s="307" t="str">
        <f>IF(D33="AUTO","FAULT CURRENT AT SERVICE POINT","")</f>
        <v>FAULT CURRENT AT SERVICE POINT</v>
      </c>
      <c r="D36" s="548">
        <v>30000</v>
      </c>
      <c r="E36" s="307"/>
      <c r="F36" s="549" t="s">
        <v>940</v>
      </c>
      <c r="G36" s="311"/>
      <c r="H36" s="303"/>
      <c r="I36" s="310"/>
      <c r="J36" s="307" t="s">
        <v>101</v>
      </c>
      <c r="K36" s="307" t="str">
        <f>IF(AJ36&gt;0," ERROR IN SUB PANEL",Import!E34)</f>
        <v xml:space="preserve"> ERROR IN SUB PANEL</v>
      </c>
      <c r="L36" s="311"/>
      <c r="M36" s="307"/>
      <c r="N36" s="307" t="str">
        <f t="shared" si="2"/>
        <v xml:space="preserve"> </v>
      </c>
      <c r="O36" s="303"/>
      <c r="R36" s="179">
        <f>IF(ISBLANK(D33)=TRUE,0,IF(D33="MANUAL",0,IF(ISBLANK(D36)=TRUE,1,0)))</f>
        <v>0</v>
      </c>
      <c r="V36" s="178" t="s">
        <v>325</v>
      </c>
      <c r="AE36" s="179" t="s">
        <v>73</v>
      </c>
      <c r="AF36" s="178">
        <v>28</v>
      </c>
      <c r="AG36" s="179" t="str">
        <f t="shared" si="0"/>
        <v>DP28</v>
      </c>
      <c r="AH36" s="179">
        <f t="shared" si="1"/>
        <v>0</v>
      </c>
      <c r="AI36" s="179">
        <f>'Update Check'!D34</f>
        <v>0</v>
      </c>
      <c r="AJ36" s="319" t="str">
        <f>Import!D34</f>
        <v xml:space="preserve"> </v>
      </c>
    </row>
    <row r="37" spans="1:37">
      <c r="A37" s="303"/>
      <c r="B37" s="310"/>
      <c r="C37" s="307" t="str">
        <f>IF(D33="AUTO","WIRE CU/AL"," ")</f>
        <v>WIRE CU/AL</v>
      </c>
      <c r="D37" s="330" t="s">
        <v>324</v>
      </c>
      <c r="E37" s="307"/>
      <c r="F37" s="307" t="str">
        <f>IF(R37&gt;0,"&lt;&lt; ENTER CU or AL",IF(S34=25,"&lt;&lt; CHECK ENTRY"," "))</f>
        <v xml:space="preserve"> </v>
      </c>
      <c r="G37" s="311"/>
      <c r="H37" s="303"/>
      <c r="I37" s="310"/>
      <c r="J37" s="307" t="s">
        <v>102</v>
      </c>
      <c r="K37" s="307" t="str">
        <f>IF(AJ37&gt;0," ERROR IN SUB PANEL",Import!E35)</f>
        <v xml:space="preserve"> ERROR IN SUB PANEL</v>
      </c>
      <c r="L37" s="311"/>
      <c r="M37" s="307"/>
      <c r="N37" s="307" t="str">
        <f t="shared" si="2"/>
        <v xml:space="preserve"> </v>
      </c>
      <c r="O37" s="303"/>
      <c r="R37" s="179">
        <f>IF(ISBLANK(D33)=TRUE,0,IF(D33="MANUAL",0,IF(ISBLANK(D37)=TRUE,1,0)))</f>
        <v>0</v>
      </c>
      <c r="V37" s="178" t="s">
        <v>327</v>
      </c>
      <c r="AE37" s="179" t="s">
        <v>73</v>
      </c>
      <c r="AF37" s="178">
        <v>29</v>
      </c>
      <c r="AG37" s="179" t="str">
        <f t="shared" si="0"/>
        <v>DP29</v>
      </c>
      <c r="AH37" s="179">
        <f t="shared" si="1"/>
        <v>0</v>
      </c>
      <c r="AI37" s="179">
        <f>'Update Check'!D35</f>
        <v>0</v>
      </c>
      <c r="AJ37" s="319" t="str">
        <f>Import!D35</f>
        <v xml:space="preserve"> </v>
      </c>
    </row>
    <row r="38" spans="1:37">
      <c r="A38" s="303"/>
      <c r="B38" s="310"/>
      <c r="C38" s="307" t="str">
        <f>IF(D33="AUTO","WIRE TEMP"," ")</f>
        <v>WIRE TEMP</v>
      </c>
      <c r="D38" s="362">
        <v>75</v>
      </c>
      <c r="E38" s="307"/>
      <c r="F38" s="307" t="str">
        <f>IF(R38&gt;0,"&lt;&lt; SELECT WIRE TEMP"," ")</f>
        <v xml:space="preserve"> </v>
      </c>
      <c r="G38" s="311"/>
      <c r="H38" s="303"/>
      <c r="I38" s="310"/>
      <c r="J38" s="307" t="s">
        <v>103</v>
      </c>
      <c r="K38" s="307" t="str">
        <f>IF(AJ38&gt;0," ERROR IN SUB PANEL",Import!E36)</f>
        <v xml:space="preserve"> ERROR IN SUB PANEL</v>
      </c>
      <c r="L38" s="311"/>
      <c r="M38" s="307"/>
      <c r="N38" s="307" t="str">
        <f t="shared" si="2"/>
        <v xml:space="preserve"> </v>
      </c>
      <c r="O38" s="303"/>
      <c r="R38" s="179">
        <f>IF(ISBLANK(D33)=TRUE,0,IF(D33="MANUAL",0,IF(ISBLANK(D38)=TRUE,1,0)))</f>
        <v>0</v>
      </c>
      <c r="V38" s="178" t="s">
        <v>326</v>
      </c>
      <c r="AE38" s="179" t="s">
        <v>73</v>
      </c>
      <c r="AF38" s="178">
        <v>30</v>
      </c>
      <c r="AG38" s="179" t="str">
        <f t="shared" si="0"/>
        <v>DP30</v>
      </c>
      <c r="AH38" s="179">
        <f t="shared" si="1"/>
        <v>0</v>
      </c>
      <c r="AI38" s="179">
        <f>'Update Check'!D36</f>
        <v>0</v>
      </c>
      <c r="AJ38" s="319" t="str">
        <f>Import!D36</f>
        <v xml:space="preserve"> </v>
      </c>
    </row>
    <row r="39" spans="1:37">
      <c r="A39" s="303"/>
      <c r="B39" s="310"/>
      <c r="C39" s="307" t="str">
        <f>IF(OR(D33="MANUAL",D33="AUTO"),"% FACTOR"," ")</f>
        <v>% FACTOR</v>
      </c>
      <c r="D39" s="332">
        <v>0</v>
      </c>
      <c r="E39" s="307"/>
      <c r="F39" s="307" t="str">
        <f>IF(R39&gt;0,"&lt;&lt; ENTER % FACTOR"," ")</f>
        <v xml:space="preserve"> </v>
      </c>
      <c r="G39" s="311"/>
      <c r="H39" s="303"/>
      <c r="I39" s="313"/>
      <c r="J39" s="314"/>
      <c r="K39" s="314"/>
      <c r="L39" s="316"/>
      <c r="M39" s="307"/>
      <c r="N39" s="307"/>
      <c r="O39" s="303"/>
      <c r="R39" s="179">
        <f>IF(ISBLANK(D33)=TRUE,0,IF(ISBLANK(D39)=TRUE,1,0))</f>
        <v>0</v>
      </c>
      <c r="V39" s="179" t="s">
        <v>328</v>
      </c>
      <c r="AG39" s="179" t="s">
        <v>31</v>
      </c>
      <c r="AJ39" s="324">
        <v>0</v>
      </c>
      <c r="AK39" s="324">
        <v>0</v>
      </c>
    </row>
    <row r="40" spans="1:37">
      <c r="A40" s="303"/>
      <c r="B40" s="310"/>
      <c r="C40" s="307" t="str">
        <f>IF(AND(D34="CONDUIT",D33="AUTO"),"GROUND WIRE"," ")</f>
        <v>GROUND WIRE</v>
      </c>
      <c r="D40" s="330" t="s">
        <v>177</v>
      </c>
      <c r="E40" s="307"/>
      <c r="F40" s="307" t="str">
        <f>IF(R40&gt;0,"&lt;&lt; SELECT YES or NO"," ")</f>
        <v xml:space="preserve"> </v>
      </c>
      <c r="G40" s="311"/>
      <c r="H40" s="303"/>
      <c r="I40" s="307"/>
      <c r="J40" s="307"/>
      <c r="K40" s="307"/>
      <c r="L40" s="307"/>
      <c r="M40" s="303"/>
      <c r="N40" s="303"/>
      <c r="O40" s="303"/>
      <c r="R40" s="179">
        <f>IF(ISBLANK(D33)=TRUE,0,IF(D33="MANUAL",0,IF(D34&lt;&gt;"CONDUIT",0,IF(ISBLANK(D40)=TRUE,1,0))))</f>
        <v>0</v>
      </c>
      <c r="V40" s="179" t="s">
        <v>329</v>
      </c>
      <c r="AI40" s="179">
        <f>SUM(AI9:AI38)+AI60</f>
        <v>0</v>
      </c>
    </row>
    <row r="41" spans="1:37">
      <c r="A41" s="303"/>
      <c r="B41" s="310"/>
      <c r="C41" s="307" t="str">
        <f>IF(AND(D34="CONDUIT",D33="AUTO"),"WIRE TYPE"," ")</f>
        <v>WIRE TYPE</v>
      </c>
      <c r="D41" s="330" t="s">
        <v>369</v>
      </c>
      <c r="E41" s="307"/>
      <c r="F41" s="307" t="str">
        <f>IF(R41&gt;0,"&lt;&lt; SELECT YES or NO"," ")</f>
        <v xml:space="preserve"> </v>
      </c>
      <c r="G41" s="311"/>
      <c r="H41" s="303"/>
      <c r="I41" s="303" t="s">
        <v>704</v>
      </c>
      <c r="J41" s="303"/>
      <c r="K41" s="303"/>
      <c r="L41" s="303"/>
      <c r="M41" s="303"/>
      <c r="N41" s="303"/>
      <c r="O41" s="303"/>
      <c r="R41" s="179">
        <f>IF(ISBLANK(D33)=TRUE,0,IF(D33="MANUAL",0,IF(D34&lt;&gt;"CONDUIT",0,IF(ISBLANK(D41)=TRUE,1,0))))</f>
        <v>0</v>
      </c>
      <c r="V41" s="179" t="s">
        <v>330</v>
      </c>
    </row>
    <row r="42" spans="1:37">
      <c r="A42" s="303"/>
      <c r="B42" s="310"/>
      <c r="C42" s="307" t="str">
        <f>IF(AND(D34="CONDUIT",D33="AUTO"),"CONDUIT TYPE"," ")</f>
        <v>CONDUIT TYPE</v>
      </c>
      <c r="D42" s="330" t="s">
        <v>300</v>
      </c>
      <c r="E42" s="307"/>
      <c r="F42" s="307" t="str">
        <f>IF(R42&gt;0,"&lt;&lt; SELECT CONDUIT TYPE"," ")</f>
        <v xml:space="preserve"> </v>
      </c>
      <c r="G42" s="311"/>
      <c r="H42" s="303"/>
      <c r="I42" s="304"/>
      <c r="J42" s="305"/>
      <c r="K42" s="305"/>
      <c r="L42" s="306"/>
      <c r="M42" s="303"/>
      <c r="N42" s="303"/>
      <c r="O42" s="303"/>
      <c r="R42" s="179">
        <f>IF(ISBLANK(D33)=TRUE,0,IF(D33="MANUAL",0,IF(D34&lt;&gt;"CONDUIT",0,IF(ISBLANK(D42)=TRUE,1,0))))</f>
        <v>0</v>
      </c>
      <c r="V42" s="179" t="s">
        <v>333</v>
      </c>
    </row>
    <row r="43" spans="1:37">
      <c r="A43" s="303"/>
      <c r="B43" s="310"/>
      <c r="C43" s="307" t="str">
        <f>IF(R33&gt;0,"","OVERHEAD UNDERGROUND")</f>
        <v>OVERHEAD UNDERGROUND</v>
      </c>
      <c r="D43" s="330" t="s">
        <v>609</v>
      </c>
      <c r="E43" s="307"/>
      <c r="F43" s="307" t="str">
        <f>IF(R33&gt;0,"",IF(R43&gt;0,"&lt;&lt; SELECT METHOD"," "))</f>
        <v xml:space="preserve"> </v>
      </c>
      <c r="G43" s="311"/>
      <c r="H43" s="303"/>
      <c r="I43" s="310"/>
      <c r="J43" s="307" t="s">
        <v>60</v>
      </c>
      <c r="K43" s="329">
        <v>3</v>
      </c>
      <c r="L43" s="311"/>
      <c r="M43" s="303"/>
      <c r="N43" s="303" t="str">
        <f>IF(R44&gt;0,"&lt;&lt; ERROR","")</f>
        <v/>
      </c>
      <c r="O43" s="303"/>
      <c r="R43" s="179">
        <f>IF(ISBLANK(D33)=TRUE,0,IF(ISBLANK(D43)=TRUE,1,0))</f>
        <v>0</v>
      </c>
      <c r="V43" s="179" t="s">
        <v>334</v>
      </c>
    </row>
    <row r="44" spans="1:37">
      <c r="A44" s="303"/>
      <c r="B44" s="310"/>
      <c r="C44" s="303"/>
      <c r="D44" s="303"/>
      <c r="E44" s="303"/>
      <c r="F44" s="303"/>
      <c r="G44" s="311"/>
      <c r="H44" s="303"/>
      <c r="I44" s="313"/>
      <c r="J44" s="314"/>
      <c r="K44" s="315"/>
      <c r="L44" s="316"/>
      <c r="M44" s="303"/>
      <c r="N44" s="303"/>
      <c r="O44" s="303"/>
      <c r="R44" s="179">
        <f>IF(ISBLANK(K43)=TRUE,1,0)</f>
        <v>0</v>
      </c>
      <c r="V44" s="179" t="s">
        <v>336</v>
      </c>
    </row>
    <row r="45" spans="1:37">
      <c r="A45" s="303"/>
      <c r="B45" s="310"/>
      <c r="C45" s="303"/>
      <c r="D45" s="303"/>
      <c r="E45" s="303"/>
      <c r="F45" s="303"/>
      <c r="G45" s="311"/>
      <c r="H45" s="303"/>
      <c r="I45" s="303"/>
      <c r="J45" s="303"/>
      <c r="K45" s="318"/>
      <c r="L45" s="303"/>
      <c r="M45" s="303"/>
      <c r="N45" s="303"/>
      <c r="O45" s="303"/>
      <c r="V45" s="179" t="s">
        <v>337</v>
      </c>
    </row>
    <row r="46" spans="1:37">
      <c r="A46" s="303"/>
      <c r="B46" s="310"/>
      <c r="C46" s="303" t="str">
        <f>IF(D33="MANUAL","TYPE THE FEEDER DESCRIPTION","")</f>
        <v/>
      </c>
      <c r="D46" s="303"/>
      <c r="E46" s="303"/>
      <c r="F46" s="303"/>
      <c r="G46" s="311"/>
      <c r="H46" s="303"/>
      <c r="I46" s="303" t="s">
        <v>59</v>
      </c>
      <c r="J46" s="303"/>
      <c r="K46" s="318"/>
      <c r="L46" s="303"/>
      <c r="M46" s="303"/>
      <c r="N46" s="303"/>
      <c r="O46" s="303"/>
      <c r="V46" s="179" t="s">
        <v>339</v>
      </c>
      <c r="Y46" s="179" t="s">
        <v>53</v>
      </c>
      <c r="Z46" s="179" t="str">
        <f>IF(ISBLANK(D48)=TRUE,"",D48)</f>
        <v>2" EMT</v>
      </c>
      <c r="AB46" s="179" t="str">
        <f>CONCATENATE(Y46,Z46)</f>
        <v xml:space="preserve"> 2" EMT</v>
      </c>
      <c r="AE46" s="317">
        <f>K43</f>
        <v>3</v>
      </c>
      <c r="AH46" s="179" t="s">
        <v>104</v>
      </c>
      <c r="AI46" s="179" t="s">
        <v>69</v>
      </c>
      <c r="AJ46" s="179" t="s">
        <v>4</v>
      </c>
    </row>
    <row r="47" spans="1:37">
      <c r="A47" s="303"/>
      <c r="B47" s="310"/>
      <c r="C47" s="303"/>
      <c r="D47" s="303"/>
      <c r="E47" s="303"/>
      <c r="F47" s="303"/>
      <c r="G47" s="311"/>
      <c r="H47" s="303"/>
      <c r="I47" s="304"/>
      <c r="J47" s="305"/>
      <c r="K47" s="320"/>
      <c r="L47" s="306"/>
      <c r="M47" s="303"/>
      <c r="N47" s="303"/>
      <c r="O47" s="303"/>
      <c r="V47" s="180" t="s">
        <v>340</v>
      </c>
      <c r="Y47" s="179" t="s">
        <v>53</v>
      </c>
      <c r="Z47" s="179" t="str">
        <f>IF(ISBLANK(D49)=TRUE,"",D49)</f>
        <v/>
      </c>
      <c r="AB47" s="179" t="str">
        <f>CONCATENATE(Y47,Z47)</f>
        <v xml:space="preserve"> </v>
      </c>
      <c r="AI47" s="179" t="s">
        <v>70</v>
      </c>
    </row>
    <row r="48" spans="1:37">
      <c r="A48" s="303"/>
      <c r="B48" s="310"/>
      <c r="C48" s="303" t="str">
        <f>IF(D$33="MANUAL","LINE 1","")</f>
        <v/>
      </c>
      <c r="D48" s="333" t="s">
        <v>544</v>
      </c>
      <c r="E48" s="303"/>
      <c r="F48" s="303"/>
      <c r="G48" s="311"/>
      <c r="H48" s="303"/>
      <c r="I48" s="310"/>
      <c r="J48" s="307" t="s">
        <v>694</v>
      </c>
      <c r="K48" s="307" t="str">
        <f>IF(AJ48&gt;0," ERROR IN SUB PANEL",CInport!E7)</f>
        <v xml:space="preserve"> CP</v>
      </c>
      <c r="L48" s="311"/>
      <c r="M48" s="303"/>
      <c r="N48" s="303" t="str">
        <f>IF(R$12&gt;0,"",IF(R$11&gt;0,"",IF($R$13&gt;0,"",IF($R$15&gt;0,"",IF(AI48&gt;0," &lt;&lt; UPDATE"," ")))))</f>
        <v xml:space="preserve"> </v>
      </c>
      <c r="O48" s="303"/>
      <c r="V48" s="179" t="s">
        <v>341</v>
      </c>
      <c r="Y48" s="179" t="s">
        <v>53</v>
      </c>
      <c r="Z48" s="179" t="str">
        <f>IF(ISBLANK(D50)=TRUE,"",D50)</f>
        <v/>
      </c>
      <c r="AB48" s="179" t="str">
        <f>CONCATENATE(Y48,Z48)</f>
        <v xml:space="preserve"> </v>
      </c>
      <c r="AD48" s="179">
        <v>1</v>
      </c>
      <c r="AE48" s="413" t="s">
        <v>705</v>
      </c>
      <c r="AF48" s="413">
        <v>1</v>
      </c>
      <c r="AG48" s="179" t="str">
        <f t="shared" ref="AG48:AG57" si="5">CONCATENATE(AE48,AF48)</f>
        <v>CP1</v>
      </c>
      <c r="AH48" s="179">
        <f>IF(OR($K$43=AF48,$K$43&gt;AF48),1,0)</f>
        <v>1</v>
      </c>
      <c r="AI48" s="317">
        <f>'Update Check'!D43</f>
        <v>0</v>
      </c>
      <c r="AJ48" s="309">
        <f>IF(AE$46&lt;AD48,"",CInport!D7)</f>
        <v>0</v>
      </c>
    </row>
    <row r="49" spans="1:36">
      <c r="A49" s="303"/>
      <c r="B49" s="310"/>
      <c r="C49" s="303" t="str">
        <f>IF(D$33="MANUAL","LINE 2","")</f>
        <v/>
      </c>
      <c r="D49" s="333"/>
      <c r="E49" s="303"/>
      <c r="F49" s="303"/>
      <c r="G49" s="311"/>
      <c r="H49" s="303"/>
      <c r="I49" s="310"/>
      <c r="J49" s="307" t="s">
        <v>695</v>
      </c>
      <c r="K49" s="307" t="str">
        <f>IF(AJ49&gt;0," ERROR IN SUB PANEL",CInport!E8)</f>
        <v xml:space="preserve"> CP</v>
      </c>
      <c r="L49" s="311"/>
      <c r="M49" s="303"/>
      <c r="N49" s="303" t="str">
        <f t="shared" ref="N49:N57" si="6">IF(R$12&gt;0,"",IF(R$11&gt;0,"",IF($R$13&gt;0,"",IF($R$15&gt;0,"",IF(AI49&gt;0," &lt;&lt; UPDATE"," ")))))</f>
        <v xml:space="preserve"> </v>
      </c>
      <c r="O49" s="303"/>
      <c r="V49" s="179" t="s">
        <v>447</v>
      </c>
      <c r="Y49" s="179" t="s">
        <v>53</v>
      </c>
      <c r="Z49" s="179" t="str">
        <f>IF(ISBLANK(D51)=TRUE,"",D51)</f>
        <v/>
      </c>
      <c r="AB49" s="179" t="str">
        <f>CONCATENATE(Y49,Z49)</f>
        <v xml:space="preserve"> </v>
      </c>
      <c r="AD49" s="179">
        <f>AD48+1</f>
        <v>2</v>
      </c>
      <c r="AE49" s="413" t="s">
        <v>705</v>
      </c>
      <c r="AF49" s="413">
        <v>2</v>
      </c>
      <c r="AG49" s="179" t="str">
        <f t="shared" si="5"/>
        <v>CP2</v>
      </c>
      <c r="AH49" s="179">
        <f t="shared" ref="AH49:AH57" si="7">IF(OR($K$43=AF49,$K$43&gt;AF49),1,0)</f>
        <v>1</v>
      </c>
      <c r="AI49" s="317">
        <f>'Update Check'!D44</f>
        <v>0</v>
      </c>
      <c r="AJ49" s="309">
        <f>IF(AE$46&lt;AD49,"",CInport!D8)</f>
        <v>0</v>
      </c>
    </row>
    <row r="50" spans="1:36">
      <c r="A50" s="303"/>
      <c r="B50" s="310"/>
      <c r="C50" s="303" t="str">
        <f>IF(D$33="MANUAL","LINE 3","")</f>
        <v/>
      </c>
      <c r="D50" s="333"/>
      <c r="E50" s="303"/>
      <c r="F50" s="303"/>
      <c r="G50" s="311"/>
      <c r="H50" s="303"/>
      <c r="I50" s="310"/>
      <c r="J50" s="307" t="s">
        <v>696</v>
      </c>
      <c r="K50" s="307" t="str">
        <f>IF(AJ50&gt;0," ERROR IN SUB PANEL",CInport!E9)</f>
        <v xml:space="preserve"> CP</v>
      </c>
      <c r="L50" s="311"/>
      <c r="M50" s="303"/>
      <c r="N50" s="303" t="str">
        <f t="shared" si="6"/>
        <v xml:space="preserve"> </v>
      </c>
      <c r="O50" s="303"/>
      <c r="V50" s="179" t="s">
        <v>450</v>
      </c>
      <c r="Y50" s="179" t="s">
        <v>53</v>
      </c>
      <c r="Z50" s="179" t="str">
        <f>IF(ISBLANK(D52)=TRUE,"",D52)</f>
        <v/>
      </c>
      <c r="AB50" s="179" t="str">
        <f>CONCATENATE(Y50,Z50)</f>
        <v xml:space="preserve"> </v>
      </c>
      <c r="AD50" s="179">
        <f t="shared" ref="AD50:AD57" si="8">AD49+1</f>
        <v>3</v>
      </c>
      <c r="AE50" s="413" t="s">
        <v>705</v>
      </c>
      <c r="AF50" s="413">
        <v>3</v>
      </c>
      <c r="AG50" s="179" t="str">
        <f t="shared" si="5"/>
        <v>CP3</v>
      </c>
      <c r="AH50" s="179">
        <f t="shared" si="7"/>
        <v>1</v>
      </c>
      <c r="AI50" s="317">
        <f>'Update Check'!D45</f>
        <v>0</v>
      </c>
      <c r="AJ50" s="309">
        <f>IF(AE$46&lt;AD50,"",CInport!D9)</f>
        <v>0</v>
      </c>
    </row>
    <row r="51" spans="1:36">
      <c r="A51" s="303"/>
      <c r="B51" s="310"/>
      <c r="C51" s="303" t="str">
        <f>IF(D$33="MANUAL","LINE 4","")</f>
        <v/>
      </c>
      <c r="D51" s="333"/>
      <c r="E51" s="303"/>
      <c r="F51" s="303"/>
      <c r="G51" s="311"/>
      <c r="H51" s="303"/>
      <c r="I51" s="310"/>
      <c r="J51" s="307" t="s">
        <v>697</v>
      </c>
      <c r="K51" s="307" t="str">
        <f>IF(AJ51&gt;0," ERROR IN SUB PANEL",CInport!E10)</f>
        <v xml:space="preserve"> ERROR IN SUB PANEL</v>
      </c>
      <c r="L51" s="311"/>
      <c r="M51" s="303"/>
      <c r="N51" s="303" t="str">
        <f t="shared" si="6"/>
        <v xml:space="preserve"> </v>
      </c>
      <c r="O51" s="303"/>
      <c r="V51" s="179" t="s">
        <v>448</v>
      </c>
      <c r="AD51" s="179">
        <f t="shared" si="8"/>
        <v>4</v>
      </c>
      <c r="AE51" s="413" t="s">
        <v>705</v>
      </c>
      <c r="AF51" s="413">
        <v>4</v>
      </c>
      <c r="AG51" s="179" t="str">
        <f t="shared" si="5"/>
        <v>CP4</v>
      </c>
      <c r="AH51" s="179">
        <f t="shared" si="7"/>
        <v>0</v>
      </c>
      <c r="AI51" s="317">
        <f>'Update Check'!D46</f>
        <v>0</v>
      </c>
      <c r="AJ51" s="309" t="str">
        <f>IF(AE$46&lt;AD51,"",CInport!D10)</f>
        <v/>
      </c>
    </row>
    <row r="52" spans="1:36">
      <c r="A52" s="303"/>
      <c r="B52" s="310"/>
      <c r="C52" s="303" t="str">
        <f>IF(D$33="MANUAL","LINE 5","")</f>
        <v/>
      </c>
      <c r="D52" s="333"/>
      <c r="E52" s="303"/>
      <c r="F52" s="303"/>
      <c r="G52" s="311"/>
      <c r="H52" s="303"/>
      <c r="I52" s="310"/>
      <c r="J52" s="307" t="s">
        <v>698</v>
      </c>
      <c r="K52" s="307" t="str">
        <f>IF(AJ52&gt;0," ERROR IN SUB PANEL",CInport!E11)</f>
        <v xml:space="preserve"> ERROR IN SUB PANEL</v>
      </c>
      <c r="L52" s="311"/>
      <c r="M52" s="303"/>
      <c r="N52" s="303" t="str">
        <f t="shared" si="6"/>
        <v xml:space="preserve"> </v>
      </c>
      <c r="O52" s="303"/>
      <c r="V52" s="179" t="s">
        <v>449</v>
      </c>
      <c r="Y52" s="179" t="s">
        <v>53</v>
      </c>
      <c r="Z52" s="179" t="str">
        <f>IF(ISBLANK(D54)=TRUE,"",D54)</f>
        <v>#2 CU</v>
      </c>
      <c r="AA52" s="179" t="s">
        <v>256</v>
      </c>
      <c r="AB52" s="179" t="str">
        <f>CONCATENATE(Y52,Z52,AA52)</f>
        <v xml:space="preserve"> #2 CU - </v>
      </c>
      <c r="AD52" s="179">
        <f t="shared" si="8"/>
        <v>5</v>
      </c>
      <c r="AE52" s="413" t="s">
        <v>705</v>
      </c>
      <c r="AF52" s="413">
        <v>5</v>
      </c>
      <c r="AG52" s="179" t="str">
        <f t="shared" si="5"/>
        <v>CP5</v>
      </c>
      <c r="AH52" s="179">
        <f t="shared" si="7"/>
        <v>0</v>
      </c>
      <c r="AI52" s="317">
        <f>'Update Check'!D47</f>
        <v>0</v>
      </c>
      <c r="AJ52" s="309" t="str">
        <f>IF(AE$46&lt;AD52,"",CInport!D11)</f>
        <v/>
      </c>
    </row>
    <row r="53" spans="1:36">
      <c r="A53" s="303"/>
      <c r="B53" s="310"/>
      <c r="C53" s="303"/>
      <c r="D53" s="303"/>
      <c r="E53" s="303"/>
      <c r="F53" s="303"/>
      <c r="G53" s="311"/>
      <c r="H53" s="303"/>
      <c r="I53" s="310"/>
      <c r="J53" s="307" t="s">
        <v>699</v>
      </c>
      <c r="K53" s="307" t="str">
        <f>IF(AJ53&gt;0," ERROR IN SUB PANEL",CInport!E12)</f>
        <v xml:space="preserve"> ERROR IN SUB PANEL</v>
      </c>
      <c r="L53" s="311"/>
      <c r="M53" s="303"/>
      <c r="N53" s="303" t="str">
        <f t="shared" si="6"/>
        <v xml:space="preserve"> </v>
      </c>
      <c r="O53" s="303"/>
      <c r="AD53" s="179">
        <f t="shared" si="8"/>
        <v>6</v>
      </c>
      <c r="AE53" s="413" t="s">
        <v>705</v>
      </c>
      <c r="AF53" s="413">
        <v>6</v>
      </c>
      <c r="AG53" s="179" t="str">
        <f t="shared" si="5"/>
        <v>CP6</v>
      </c>
      <c r="AH53" s="179">
        <f t="shared" si="7"/>
        <v>0</v>
      </c>
      <c r="AI53" s="317">
        <f>'Update Check'!D48</f>
        <v>0</v>
      </c>
      <c r="AJ53" s="309" t="str">
        <f>IF(AE$46&lt;AD53,"",CInport!D12)</f>
        <v/>
      </c>
    </row>
    <row r="54" spans="1:36">
      <c r="A54" s="303"/>
      <c r="B54" s="310"/>
      <c r="C54" s="307" t="str">
        <f>IF(D$33="MANUAL","UFER GROUND SIZE","")</f>
        <v/>
      </c>
      <c r="D54" s="398" t="s">
        <v>550</v>
      </c>
      <c r="E54" s="307"/>
      <c r="F54" s="307"/>
      <c r="G54" s="311"/>
      <c r="H54" s="303"/>
      <c r="I54" s="310"/>
      <c r="J54" s="307" t="s">
        <v>700</v>
      </c>
      <c r="K54" s="307" t="str">
        <f>IF(AJ54&gt;0," ERROR IN SUB PANEL",CInport!E13)</f>
        <v xml:space="preserve"> ERROR IN SUB PANEL</v>
      </c>
      <c r="L54" s="311"/>
      <c r="M54" s="303"/>
      <c r="N54" s="303" t="str">
        <f t="shared" si="6"/>
        <v xml:space="preserve"> </v>
      </c>
      <c r="O54" s="303"/>
      <c r="AD54" s="179">
        <f t="shared" si="8"/>
        <v>7</v>
      </c>
      <c r="AE54" s="413" t="s">
        <v>705</v>
      </c>
      <c r="AF54" s="413">
        <v>7</v>
      </c>
      <c r="AG54" s="179" t="str">
        <f t="shared" si="5"/>
        <v>CP7</v>
      </c>
      <c r="AH54" s="179">
        <f t="shared" si="7"/>
        <v>0</v>
      </c>
      <c r="AI54" s="317">
        <f>'Update Check'!D49</f>
        <v>0</v>
      </c>
      <c r="AJ54" s="309" t="str">
        <f>IF(AE$46&lt;AD54,"",CInport!D13)</f>
        <v/>
      </c>
    </row>
    <row r="55" spans="1:36">
      <c r="A55" s="303"/>
      <c r="B55" s="310"/>
      <c r="C55" s="307"/>
      <c r="D55" s="307"/>
      <c r="E55" s="307"/>
      <c r="F55" s="307"/>
      <c r="G55" s="311"/>
      <c r="H55" s="303"/>
      <c r="I55" s="310"/>
      <c r="J55" s="307" t="s">
        <v>701</v>
      </c>
      <c r="K55" s="307" t="str">
        <f>IF(AJ55&gt;0," ERROR IN SUB PANEL",CInport!E14)</f>
        <v xml:space="preserve"> ERROR IN SUB PANEL</v>
      </c>
      <c r="L55" s="311"/>
      <c r="M55" s="303"/>
      <c r="N55" s="303" t="str">
        <f t="shared" si="6"/>
        <v xml:space="preserve"> </v>
      </c>
      <c r="O55" s="303"/>
      <c r="T55" s="179" t="s">
        <v>53</v>
      </c>
      <c r="AD55" s="179">
        <f t="shared" si="8"/>
        <v>8</v>
      </c>
      <c r="AE55" s="413" t="s">
        <v>705</v>
      </c>
      <c r="AF55" s="413">
        <v>8</v>
      </c>
      <c r="AG55" s="179" t="str">
        <f t="shared" si="5"/>
        <v>CP8</v>
      </c>
      <c r="AH55" s="179">
        <f t="shared" si="7"/>
        <v>0</v>
      </c>
      <c r="AI55" s="317">
        <f>'Update Check'!D50</f>
        <v>0</v>
      </c>
      <c r="AJ55" s="309" t="str">
        <f>IF(AE$46&lt;AD55,"",CInport!D14)</f>
        <v/>
      </c>
    </row>
    <row r="56" spans="1:36">
      <c r="A56" s="303"/>
      <c r="B56" s="310"/>
      <c r="C56" s="307" t="str">
        <f>IF(D$33="MANUAL","FAULT CURRENT AT SERVICE POINT","")</f>
        <v/>
      </c>
      <c r="D56" s="334">
        <v>30000</v>
      </c>
      <c r="E56" s="307"/>
      <c r="F56" s="307" t="str">
        <f>IF(R56&gt;0,"&lt;&lt; ENTER AFC"," ")</f>
        <v xml:space="preserve"> </v>
      </c>
      <c r="G56" s="311"/>
      <c r="H56" s="303"/>
      <c r="I56" s="310"/>
      <c r="J56" s="307" t="s">
        <v>702</v>
      </c>
      <c r="K56" s="307" t="str">
        <f>IF(AJ56&gt;0," ERROR IN SUB PANEL",CInport!E15)</f>
        <v xml:space="preserve"> ERROR IN SUB PANEL</v>
      </c>
      <c r="L56" s="311"/>
      <c r="M56" s="303"/>
      <c r="N56" s="303" t="str">
        <f t="shared" si="6"/>
        <v xml:space="preserve"> </v>
      </c>
      <c r="O56" s="303"/>
      <c r="R56" s="179">
        <f>IF(D33="AUTO",0,IF(ISBLANK(D33)=TRUE,0,IF(ISBLANK(D56)=TRUE,1,0)))</f>
        <v>0</v>
      </c>
      <c r="T56" s="179">
        <f>ROUND(D56/1000,1)</f>
        <v>30</v>
      </c>
      <c r="U56" s="179" t="s">
        <v>52</v>
      </c>
      <c r="V56" s="179" t="str">
        <f>CONCATENATE(T55,T56,U56)</f>
        <v xml:space="preserve"> 30 K</v>
      </c>
      <c r="AD56" s="179">
        <f t="shared" si="8"/>
        <v>9</v>
      </c>
      <c r="AE56" s="413" t="s">
        <v>705</v>
      </c>
      <c r="AF56" s="413">
        <v>9</v>
      </c>
      <c r="AG56" s="179" t="str">
        <f t="shared" si="5"/>
        <v>CP9</v>
      </c>
      <c r="AH56" s="179">
        <f t="shared" si="7"/>
        <v>0</v>
      </c>
      <c r="AI56" s="317">
        <f>'Update Check'!D51</f>
        <v>0</v>
      </c>
      <c r="AJ56" s="309" t="str">
        <f>IF(AE$46&lt;AD56,"",CInport!D15)</f>
        <v/>
      </c>
    </row>
    <row r="57" spans="1:36">
      <c r="A57" s="303"/>
      <c r="B57" s="313"/>
      <c r="C57" s="314"/>
      <c r="D57" s="314"/>
      <c r="E57" s="314"/>
      <c r="F57" s="314"/>
      <c r="G57" s="316"/>
      <c r="H57" s="303"/>
      <c r="I57" s="310"/>
      <c r="J57" s="307" t="s">
        <v>703</v>
      </c>
      <c r="K57" s="307" t="str">
        <f>IF(AJ57&gt;0," ERROR IN SUB PANEL",CInport!E16)</f>
        <v xml:space="preserve"> ERROR IN SUB PANEL</v>
      </c>
      <c r="L57" s="311"/>
      <c r="M57" s="303"/>
      <c r="N57" s="303" t="str">
        <f t="shared" si="6"/>
        <v xml:space="preserve"> </v>
      </c>
      <c r="O57" s="303"/>
      <c r="AD57" s="179">
        <f t="shared" si="8"/>
        <v>10</v>
      </c>
      <c r="AE57" s="413" t="s">
        <v>705</v>
      </c>
      <c r="AF57" s="413">
        <v>10</v>
      </c>
      <c r="AG57" s="179" t="str">
        <f t="shared" si="5"/>
        <v>CP10</v>
      </c>
      <c r="AH57" s="179">
        <f t="shared" si="7"/>
        <v>0</v>
      </c>
      <c r="AI57" s="317">
        <f>'Update Check'!D52</f>
        <v>0</v>
      </c>
      <c r="AJ57" s="309" t="str">
        <f>IF(AE$46&lt;AD57,"",CInport!D16)</f>
        <v/>
      </c>
    </row>
    <row r="58" spans="1:36">
      <c r="A58" s="303"/>
      <c r="B58" s="303"/>
      <c r="C58" s="303"/>
      <c r="D58" s="303"/>
      <c r="E58" s="303"/>
      <c r="F58" s="303"/>
      <c r="G58" s="303"/>
      <c r="H58" s="303"/>
      <c r="I58" s="313"/>
      <c r="J58" s="314"/>
      <c r="K58" s="314"/>
      <c r="L58" s="316"/>
      <c r="M58" s="303"/>
      <c r="N58" s="303"/>
      <c r="O58" s="303"/>
      <c r="T58" s="179" t="s">
        <v>53</v>
      </c>
    </row>
    <row r="59" spans="1:36">
      <c r="A59" s="303"/>
      <c r="B59" s="303" t="s">
        <v>621</v>
      </c>
      <c r="C59" s="303"/>
      <c r="D59" s="303"/>
      <c r="E59" s="303"/>
      <c r="F59" s="303"/>
      <c r="G59" s="303"/>
      <c r="H59" s="303"/>
      <c r="I59" s="307"/>
      <c r="J59" s="307"/>
      <c r="K59" s="307"/>
      <c r="L59" s="307"/>
      <c r="M59" s="303"/>
      <c r="N59" s="303"/>
      <c r="O59" s="303"/>
      <c r="T59" s="179">
        <f>ROUND(D36/1000,1)</f>
        <v>30</v>
      </c>
      <c r="U59" s="179" t="s">
        <v>52</v>
      </c>
      <c r="V59" s="179" t="str">
        <f>CONCATENATE(T58,T59,U59)</f>
        <v xml:space="preserve"> 30 K</v>
      </c>
    </row>
    <row r="60" spans="1:36">
      <c r="A60" s="303"/>
      <c r="B60" s="304"/>
      <c r="C60" s="305"/>
      <c r="D60" s="305"/>
      <c r="E60" s="305"/>
      <c r="F60" s="305"/>
      <c r="G60" s="306"/>
      <c r="H60" s="303"/>
      <c r="I60" s="307"/>
      <c r="J60" s="307"/>
      <c r="K60" s="307"/>
      <c r="L60" s="307"/>
      <c r="M60" s="303"/>
      <c r="N60" s="303"/>
      <c r="O60" s="303"/>
      <c r="AI60" s="179">
        <f>SUM(AI48:AI57)</f>
        <v>0</v>
      </c>
      <c r="AJ60" s="324">
        <f>SUM(AJ48:AJ57)</f>
        <v>0</v>
      </c>
    </row>
    <row r="61" spans="1:36">
      <c r="A61" s="303"/>
      <c r="B61" s="310"/>
      <c r="C61" s="307" t="str">
        <f>IF(D10=2002,"THIS PROGRAM CALCULATES THE MULTIFAMILY SERVICE SIZE PER NEC 220.32","THIS PROGRAM CALCULATES THE MULTIFAMILY SERVICE SIZE PER NEC 220.84")</f>
        <v>THIS PROGRAM CALCULATES THE MULTIFAMILY SERVICE SIZE PER NEC 220.84</v>
      </c>
      <c r="D61" s="307"/>
      <c r="E61" s="307"/>
      <c r="F61" s="307"/>
      <c r="G61" s="311"/>
      <c r="H61" s="303"/>
      <c r="I61" s="307"/>
      <c r="J61" s="307"/>
      <c r="K61" s="307"/>
      <c r="L61" s="307"/>
      <c r="M61" s="303"/>
      <c r="N61" s="303"/>
      <c r="O61" s="303"/>
      <c r="R61" s="179">
        <f>Import!V89</f>
        <v>0</v>
      </c>
      <c r="V61" s="179" t="str">
        <f>IF(D33="AUTO",V59,V56)</f>
        <v xml:space="preserve"> 30 K</v>
      </c>
    </row>
    <row r="62" spans="1:36">
      <c r="A62" s="303"/>
      <c r="B62" s="310"/>
      <c r="C62" s="307"/>
      <c r="D62" s="307"/>
      <c r="E62" s="307"/>
      <c r="F62" s="307"/>
      <c r="G62" s="311"/>
      <c r="H62" s="303"/>
      <c r="I62" s="307"/>
      <c r="J62" s="307"/>
      <c r="K62" s="307"/>
      <c r="L62" s="307"/>
      <c r="M62" s="303"/>
      <c r="N62" s="303"/>
      <c r="O62" s="303"/>
    </row>
    <row r="63" spans="1:36">
      <c r="A63" s="303"/>
      <c r="B63" s="310"/>
      <c r="C63" s="307" t="str">
        <f>IF(D10=2002,"NEC SECTION 220.32(A)(2) REQUIRES THAT EACH DWELLING HAVE ELECTRIC COOKING EQUIPMENT.","NEC SECTION 220.84(A)(2) REQUIRES THAT EACH DWELLING HAVE ELECTRIC COOKING EQUIPMENT.")</f>
        <v>NEC SECTION 220.84(A)(2) REQUIRES THAT EACH DWELLING HAVE ELECTRIC COOKING EQUIPMENT.</v>
      </c>
      <c r="D63" s="307"/>
      <c r="E63" s="307"/>
      <c r="F63" s="307"/>
      <c r="G63" s="311"/>
      <c r="H63" s="303"/>
      <c r="I63" s="307"/>
      <c r="J63" s="307"/>
      <c r="K63" s="307"/>
      <c r="L63" s="307"/>
      <c r="M63" s="303"/>
      <c r="N63" s="303"/>
      <c r="O63" s="303"/>
      <c r="V63" s="179">
        <f>IF(D33="AUTO",ROUND(Short!H29,0),D56)</f>
        <v>16599</v>
      </c>
    </row>
    <row r="64" spans="1:36">
      <c r="A64" s="303"/>
      <c r="B64" s="310"/>
      <c r="C64" s="307"/>
      <c r="D64" s="307"/>
      <c r="E64" s="307"/>
      <c r="F64" s="307"/>
      <c r="G64" s="311"/>
      <c r="H64" s="303"/>
      <c r="I64" s="307"/>
      <c r="J64" s="307"/>
      <c r="K64" s="307"/>
      <c r="L64" s="307"/>
      <c r="M64" s="303"/>
      <c r="N64" s="303"/>
      <c r="O64" s="303"/>
    </row>
    <row r="65" spans="1:25">
      <c r="A65" s="303"/>
      <c r="B65" s="310"/>
      <c r="C65" s="307" t="str">
        <f>Import!W90</f>
        <v>YOUR SERVICE CONFIGURATION HAS 6 DWELLING UNITS AND EACH DWELLING HAS A RANGE</v>
      </c>
      <c r="D65" s="307"/>
      <c r="E65" s="307"/>
      <c r="F65" s="307"/>
      <c r="G65" s="311"/>
      <c r="H65" s="303"/>
      <c r="I65" s="307"/>
      <c r="J65" s="307"/>
      <c r="K65" s="307"/>
      <c r="L65" s="307"/>
      <c r="M65" s="303"/>
      <c r="N65" s="303"/>
      <c r="O65" s="303"/>
      <c r="V65" s="179" t="s">
        <v>53</v>
      </c>
      <c r="W65" s="179">
        <f>IF(D33="AUTO",ROUND(V63/1000,1),T56)</f>
        <v>16.600000000000001</v>
      </c>
      <c r="X65" s="179" t="s">
        <v>52</v>
      </c>
      <c r="Y65" s="179" t="str">
        <f>CONCATENATE(V65,W65,X65)</f>
        <v xml:space="preserve"> 16.6 K</v>
      </c>
    </row>
    <row r="66" spans="1:25">
      <c r="A66" s="303"/>
      <c r="B66" s="310"/>
      <c r="C66" s="307" t="str">
        <f>Import!W91</f>
        <v>THIS MEETS THE REQUIREMENTS OF NEC 220.84(A)(2) EXCEPTION</v>
      </c>
      <c r="D66" s="307"/>
      <c r="E66" s="307"/>
      <c r="F66" s="307"/>
      <c r="G66" s="311"/>
      <c r="H66" s="303"/>
      <c r="I66" s="303"/>
      <c r="J66" s="303"/>
      <c r="K66" s="303"/>
      <c r="L66" s="303"/>
      <c r="M66" s="303"/>
      <c r="N66" s="303"/>
      <c r="O66" s="303"/>
      <c r="W66" s="179">
        <f>T56</f>
        <v>30</v>
      </c>
    </row>
    <row r="67" spans="1:25">
      <c r="A67" s="303"/>
      <c r="B67" s="310"/>
      <c r="C67" s="307"/>
      <c r="D67" s="307"/>
      <c r="E67" s="307"/>
      <c r="F67" s="307"/>
      <c r="G67" s="311"/>
      <c r="H67" s="303"/>
      <c r="I67" s="303" t="str">
        <f>IF(D33="AUTO","Feeder Auto Mode","Feeder Manual Mode")</f>
        <v>Feeder Auto Mode</v>
      </c>
      <c r="J67" s="303"/>
      <c r="K67" s="303"/>
      <c r="L67" s="303"/>
      <c r="M67" s="303"/>
      <c r="N67" s="303"/>
      <c r="O67" s="303"/>
    </row>
    <row r="68" spans="1:25">
      <c r="A68" s="303"/>
      <c r="B68" s="310"/>
      <c r="C68" s="307" t="str">
        <f>Import!W93</f>
        <v/>
      </c>
      <c r="D68" s="307"/>
      <c r="E68" s="307"/>
      <c r="F68" s="307"/>
      <c r="G68" s="311"/>
      <c r="H68" s="303"/>
      <c r="I68" s="304"/>
      <c r="J68" s="305"/>
      <c r="K68" s="305"/>
      <c r="L68" s="306"/>
      <c r="M68" s="303"/>
      <c r="N68" s="303"/>
      <c r="O68" s="303"/>
    </row>
    <row r="69" spans="1:25">
      <c r="A69" s="303"/>
      <c r="B69" s="310"/>
      <c r="C69" s="307" t="str">
        <f>Import!W94</f>
        <v/>
      </c>
      <c r="D69" s="307"/>
      <c r="E69" s="307"/>
      <c r="F69" s="307"/>
      <c r="G69" s="311"/>
      <c r="H69" s="303"/>
      <c r="I69" s="310"/>
      <c r="J69" s="307"/>
      <c r="K69" s="399" t="str">
        <f>IF(OR(R13&gt;0,R12&gt;0),"ERROR",IF(D$33="MANUAL",AB46,Conduit!AG100))</f>
        <v xml:space="preserve"> 1-2 1/2'' EMT</v>
      </c>
      <c r="L69" s="311"/>
      <c r="M69" s="303"/>
      <c r="N69" s="303"/>
      <c r="O69" s="303"/>
    </row>
    <row r="70" spans="1:25">
      <c r="A70" s="303"/>
      <c r="B70" s="313"/>
      <c r="C70" s="314"/>
      <c r="D70" s="314"/>
      <c r="E70" s="314"/>
      <c r="F70" s="314"/>
      <c r="G70" s="316"/>
      <c r="H70" s="303"/>
      <c r="I70" s="310"/>
      <c r="J70" s="307"/>
      <c r="K70" s="399" t="str">
        <f>IF(OR(R13&gt;0,R12&gt;0),"ERROR",IF(D$33="MANUAL",AB47,Conduit!AG101))</f>
        <v xml:space="preserve"> 3-#300 THHN AL</v>
      </c>
      <c r="L70" s="311"/>
      <c r="M70" s="303"/>
      <c r="N70" s="303"/>
      <c r="O70" s="303"/>
    </row>
    <row r="71" spans="1:25">
      <c r="A71" s="303"/>
      <c r="B71" s="303"/>
      <c r="C71" s="303"/>
      <c r="D71" s="303"/>
      <c r="E71" s="303"/>
      <c r="F71" s="303"/>
      <c r="G71" s="303"/>
      <c r="H71" s="303"/>
      <c r="I71" s="310"/>
      <c r="J71" s="307"/>
      <c r="K71" s="399" t="str">
        <f>IF(OR(R13&gt;0,R12&gt;0),"ERROR",IF(D$33="MANUAL",AB48,Conduit!AG102))</f>
        <v xml:space="preserve"> 1-#250 THHN AL (N)</v>
      </c>
      <c r="L71" s="311"/>
      <c r="M71" s="303"/>
      <c r="N71" s="303"/>
      <c r="O71" s="303"/>
    </row>
    <row r="72" spans="1:25">
      <c r="A72" s="303"/>
      <c r="B72" s="303" t="s">
        <v>627</v>
      </c>
      <c r="C72" s="303"/>
      <c r="D72" s="303"/>
      <c r="E72" s="303"/>
      <c r="F72" s="303"/>
      <c r="G72" s="303"/>
      <c r="H72" s="303"/>
      <c r="I72" s="310"/>
      <c r="J72" s="307"/>
      <c r="K72" s="399" t="str">
        <f>IF(OR(R13&gt;0,R12&gt;0),"ERROR",IF(D$33="MANUAL",AB49,Conduit!AG103))</f>
        <v/>
      </c>
      <c r="L72" s="311"/>
      <c r="M72" s="303"/>
      <c r="N72" s="303"/>
      <c r="O72" s="303"/>
    </row>
    <row r="73" spans="1:25">
      <c r="A73" s="303"/>
      <c r="B73" s="304"/>
      <c r="C73" s="305"/>
      <c r="D73" s="305"/>
      <c r="E73" s="305"/>
      <c r="F73" s="305"/>
      <c r="G73" s="306"/>
      <c r="H73" s="303"/>
      <c r="I73" s="310"/>
      <c r="J73" s="307"/>
      <c r="K73" s="399" t="str">
        <f>IF(OR(R13&gt;0,R12&gt;0),"ERROR",IF(D$33="MANUAL",AB50,Conduit!AG104))</f>
        <v/>
      </c>
      <c r="L73" s="311"/>
      <c r="M73" s="303"/>
      <c r="N73" s="303"/>
      <c r="O73" s="303"/>
      <c r="R73" s="179">
        <f>Import!AK97</f>
        <v>0</v>
      </c>
    </row>
    <row r="74" spans="1:25">
      <c r="A74" s="303"/>
      <c r="B74" s="310"/>
      <c r="C74" s="307" t="str">
        <f>IF(D10=2002,"THIS PROGRAM CALCULATES THE MULTIFAMILY SERVICE SIZE PER NEC 220.32","THIS PROGRAM CALCULATES THE MULTIFAMILY SERVICE SIZE PER NEC 220.84")</f>
        <v>THIS PROGRAM CALCULATES THE MULTIFAMILY SERVICE SIZE PER NEC 220.84</v>
      </c>
      <c r="D74" s="307"/>
      <c r="E74" s="307"/>
      <c r="F74" s="307"/>
      <c r="G74" s="311"/>
      <c r="H74" s="303"/>
      <c r="I74" s="310"/>
      <c r="J74" s="307"/>
      <c r="K74" s="307"/>
      <c r="L74" s="311"/>
      <c r="M74" s="303"/>
      <c r="N74" s="303"/>
      <c r="O74" s="303"/>
    </row>
    <row r="75" spans="1:25">
      <c r="A75" s="303"/>
      <c r="B75" s="310"/>
      <c r="C75" s="307"/>
      <c r="D75" s="307"/>
      <c r="E75" s="307"/>
      <c r="F75" s="307"/>
      <c r="G75" s="311"/>
      <c r="H75" s="303"/>
      <c r="I75" s="313"/>
      <c r="J75" s="314"/>
      <c r="K75" s="314"/>
      <c r="L75" s="316"/>
      <c r="M75" s="303"/>
      <c r="N75" s="303"/>
      <c r="O75" s="303"/>
    </row>
    <row r="76" spans="1:25">
      <c r="A76" s="303"/>
      <c r="B76" s="310"/>
      <c r="C76" s="307" t="str">
        <f>IF(D10=2002,"NEC SECTION 220.32(A)(3) REQUIRES THAT EACH DWELLING HAVE ELECTRIC HEATING OR AIR CONDITIONING."," NEC SECTION 220.84(A)(3) REQUIRES THAT EACH DWELLING HAVE ELECTRIC HEATING OR AIR CONDITIONING.")</f>
        <v xml:space="preserve"> NEC SECTION 220.84(A)(3) REQUIRES THAT EACH DWELLING HAVE ELECTRIC HEATING OR AIR CONDITIONING.</v>
      </c>
      <c r="D76" s="307"/>
      <c r="E76" s="307"/>
      <c r="F76" s="307"/>
      <c r="G76" s="311"/>
      <c r="H76" s="303"/>
      <c r="I76" s="303"/>
      <c r="J76" s="303"/>
      <c r="K76" s="303"/>
      <c r="L76" s="303"/>
      <c r="M76" s="303"/>
      <c r="N76" s="303"/>
      <c r="O76" s="303"/>
    </row>
    <row r="77" spans="1:25">
      <c r="A77" s="303"/>
      <c r="B77" s="310"/>
      <c r="C77" s="307"/>
      <c r="D77" s="307"/>
      <c r="E77" s="307"/>
      <c r="F77" s="307"/>
      <c r="G77" s="311"/>
      <c r="H77" s="303"/>
      <c r="I77" s="303"/>
      <c r="J77" s="303"/>
      <c r="K77" s="303"/>
      <c r="L77" s="303"/>
      <c r="M77" s="303"/>
      <c r="N77" s="303"/>
      <c r="O77" s="303"/>
    </row>
    <row r="78" spans="1:25">
      <c r="A78" s="303"/>
      <c r="B78" s="310"/>
      <c r="C78" s="307" t="str">
        <f>Import!AL97</f>
        <v>YOUR SERVICE CONFIGURATION HAS 6 DWELLING UNITS AND EACH DWELLING HAS A HEATING</v>
      </c>
      <c r="D78" s="307"/>
      <c r="E78" s="307"/>
      <c r="F78" s="307"/>
      <c r="G78" s="311"/>
      <c r="H78" s="303"/>
      <c r="I78" s="303"/>
      <c r="J78" s="303"/>
      <c r="K78" s="303"/>
      <c r="L78" s="303"/>
      <c r="M78" s="303"/>
      <c r="N78" s="303"/>
      <c r="O78" s="303"/>
    </row>
    <row r="79" spans="1:25">
      <c r="A79" s="303"/>
      <c r="B79" s="310"/>
      <c r="C79" s="307" t="str">
        <f>Import!AL98</f>
        <v>OR AIR CONDITIONING LOAD</v>
      </c>
      <c r="D79" s="307"/>
      <c r="E79" s="307"/>
      <c r="F79" s="307"/>
      <c r="G79" s="311"/>
      <c r="H79" s="303"/>
      <c r="I79" s="303"/>
      <c r="J79" s="303"/>
      <c r="K79" s="303"/>
      <c r="L79" s="303"/>
      <c r="M79" s="303"/>
      <c r="N79" s="303"/>
      <c r="O79" s="303"/>
      <c r="S79" s="324">
        <f>AJ60</f>
        <v>0</v>
      </c>
    </row>
    <row r="80" spans="1:25">
      <c r="A80" s="303"/>
      <c r="B80" s="310"/>
      <c r="C80" s="307" t="str">
        <f>Import!AL99</f>
        <v/>
      </c>
      <c r="D80" s="307"/>
      <c r="E80" s="307"/>
      <c r="F80" s="307"/>
      <c r="G80" s="311"/>
      <c r="H80" s="303"/>
      <c r="I80" s="303"/>
      <c r="J80" s="303"/>
      <c r="K80" s="303"/>
      <c r="L80" s="303"/>
      <c r="M80" s="303"/>
      <c r="N80" s="303"/>
      <c r="O80" s="303"/>
    </row>
    <row r="81" spans="1:19">
      <c r="A81" s="303"/>
      <c r="B81" s="310"/>
      <c r="C81" s="307" t="str">
        <f>Import!AL100</f>
        <v>THIS MEETS THE REQUIREMENTS OF NEC 220.84(A)(3)</v>
      </c>
      <c r="D81" s="307"/>
      <c r="E81" s="307"/>
      <c r="F81" s="307"/>
      <c r="G81" s="311"/>
      <c r="H81" s="303"/>
      <c r="I81" s="303"/>
      <c r="J81" s="303"/>
      <c r="K81" s="303"/>
      <c r="L81" s="303"/>
      <c r="M81" s="303"/>
      <c r="N81" s="303"/>
      <c r="O81" s="303"/>
    </row>
    <row r="82" spans="1:19">
      <c r="A82" s="303"/>
      <c r="B82" s="310"/>
      <c r="C82" s="307" t="str">
        <f>Import!AL101</f>
        <v/>
      </c>
      <c r="D82" s="307"/>
      <c r="E82" s="307"/>
      <c r="F82" s="307"/>
      <c r="G82" s="311"/>
      <c r="H82" s="303"/>
      <c r="I82" s="303"/>
      <c r="J82" s="303"/>
      <c r="K82" s="303"/>
      <c r="L82" s="303"/>
      <c r="M82" s="303"/>
      <c r="N82" s="303"/>
      <c r="O82" s="303"/>
    </row>
    <row r="83" spans="1:19">
      <c r="A83" s="303"/>
      <c r="B83" s="310"/>
      <c r="C83" s="307" t="str">
        <f>Import!AL102</f>
        <v/>
      </c>
      <c r="D83" s="307"/>
      <c r="E83" s="307"/>
      <c r="F83" s="307"/>
      <c r="G83" s="311"/>
      <c r="H83" s="303"/>
      <c r="I83" s="303"/>
      <c r="J83" s="303"/>
      <c r="K83" s="303"/>
      <c r="L83" s="303"/>
      <c r="M83" s="303"/>
      <c r="N83" s="303"/>
      <c r="O83" s="303"/>
    </row>
    <row r="84" spans="1:19">
      <c r="A84" s="303"/>
      <c r="B84" s="313"/>
      <c r="C84" s="314"/>
      <c r="D84" s="314"/>
      <c r="E84" s="314"/>
      <c r="F84" s="314"/>
      <c r="G84" s="316"/>
      <c r="H84" s="303"/>
      <c r="I84" s="303"/>
      <c r="J84" s="303"/>
      <c r="K84" s="303"/>
      <c r="L84" s="303"/>
      <c r="M84" s="303"/>
      <c r="N84" s="303"/>
      <c r="O84" s="303"/>
    </row>
    <row r="85" spans="1:19">
      <c r="A85" s="303"/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</row>
    <row r="86" spans="1:19" ht="14.1" customHeight="1">
      <c r="A86" s="303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</row>
    <row r="87" spans="1:19" ht="14.1" hidden="1" customHeight="1">
      <c r="S87" s="335">
        <f>SUM(R11:S85)</f>
        <v>0</v>
      </c>
    </row>
    <row r="88" spans="1:19" ht="14.1" hidden="1" customHeight="1"/>
    <row r="89" spans="1:19" ht="14.1" hidden="1" customHeight="1"/>
    <row r="90" spans="1:19" ht="14.1" hidden="1" customHeight="1"/>
    <row r="91" spans="1:19" ht="14.1" hidden="1" customHeight="1"/>
    <row r="92" spans="1:19" ht="14.1" hidden="1" customHeight="1"/>
    <row r="93" spans="1:19" ht="14.1" hidden="1" customHeight="1"/>
    <row r="94" spans="1:19" ht="14.1" hidden="1" customHeight="1"/>
    <row r="95" spans="1:19" ht="14.1" hidden="1" customHeight="1"/>
    <row r="96" spans="1:19" ht="14.1" hidden="1" customHeight="1"/>
    <row r="97" ht="14.1" hidden="1" customHeight="1"/>
    <row r="98" ht="14.1" hidden="1" customHeight="1"/>
    <row r="99" ht="14.1" hidden="1" customHeight="1"/>
    <row r="100" ht="14.1" hidden="1" customHeight="1"/>
    <row r="101" ht="14.1" hidden="1" customHeight="1"/>
    <row r="102" ht="14.1" hidden="1" customHeight="1"/>
    <row r="103" ht="14.1" hidden="1" customHeight="1"/>
    <row r="104" ht="14.1" hidden="1" customHeight="1"/>
    <row r="105" ht="14.1" hidden="1" customHeight="1"/>
    <row r="106" ht="14.1" hidden="1" customHeight="1"/>
    <row r="107" ht="14.1" hidden="1" customHeight="1"/>
    <row r="108" ht="14.1" hidden="1" customHeight="1"/>
    <row r="109" ht="14.1" hidden="1" customHeight="1"/>
    <row r="110" ht="14.1" hidden="1" customHeight="1"/>
    <row r="111" ht="14.1" hidden="1" customHeight="1"/>
    <row r="112" ht="14.1" hidden="1" customHeight="1"/>
    <row r="113" ht="14.1" hidden="1" customHeight="1"/>
    <row r="114" ht="14.1" hidden="1" customHeight="1"/>
    <row r="115" ht="14.1" hidden="1" customHeight="1"/>
    <row r="116" ht="14.1" hidden="1" customHeight="1"/>
    <row r="117" ht="14.1" hidden="1" customHeight="1"/>
    <row r="118" ht="14.1" hidden="1" customHeight="1"/>
    <row r="119" ht="14.1" hidden="1" customHeight="1"/>
    <row r="120" ht="14.1" hidden="1" customHeight="1"/>
    <row r="121" ht="14.1" hidden="1" customHeight="1"/>
    <row r="122" ht="14.1" hidden="1" customHeight="1"/>
    <row r="123" ht="14.1" hidden="1" customHeight="1"/>
    <row r="124" ht="14.1" hidden="1" customHeight="1"/>
    <row r="125" ht="14.1" hidden="1" customHeight="1"/>
    <row r="126" ht="14.1" hidden="1" customHeight="1"/>
    <row r="127" ht="14.1" hidden="1" customHeight="1"/>
    <row r="128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  <row r="401" ht="14.1" hidden="1" customHeight="1"/>
    <row r="402" ht="14.1" hidden="1" customHeight="1"/>
    <row r="403" ht="14.1" hidden="1" customHeight="1"/>
    <row r="404" ht="14.1" hidden="1" customHeight="1"/>
    <row r="405" ht="14.1" hidden="1" customHeight="1"/>
    <row r="406" ht="14.1" hidden="1" customHeight="1"/>
    <row r="407" ht="14.1" hidden="1" customHeight="1"/>
    <row r="408" ht="14.1" hidden="1" customHeight="1"/>
    <row r="409" ht="14.1" hidden="1" customHeight="1"/>
    <row r="410" ht="14.1" hidden="1" customHeight="1"/>
    <row r="411" ht="14.1" hidden="1" customHeight="1"/>
    <row r="412" ht="14.1" hidden="1" customHeight="1"/>
    <row r="413" ht="14.1" hidden="1" customHeight="1"/>
    <row r="414" ht="14.1" hidden="1" customHeight="1"/>
    <row r="415" ht="14.1" hidden="1" customHeight="1"/>
    <row r="416" ht="14.1" hidden="1" customHeight="1"/>
    <row r="417" ht="14.1" hidden="1" customHeight="1"/>
    <row r="418" ht="14.1" hidden="1" customHeight="1"/>
    <row r="419" ht="14.1" hidden="1" customHeight="1"/>
    <row r="420" ht="14.1" hidden="1" customHeight="1"/>
    <row r="421" ht="14.1" hidden="1" customHeight="1"/>
    <row r="422" ht="14.1" hidden="1" customHeight="1"/>
    <row r="423" ht="14.1" hidden="1" customHeight="1"/>
    <row r="424" ht="14.1" hidden="1" customHeight="1"/>
    <row r="425" ht="14.1" hidden="1" customHeight="1"/>
    <row r="426" ht="14.1" hidden="1" customHeight="1"/>
    <row r="427" ht="14.1" hidden="1" customHeight="1"/>
    <row r="428" ht="14.1" hidden="1" customHeight="1"/>
    <row r="429" ht="14.1" hidden="1" customHeight="1"/>
    <row r="430" ht="14.1" hidden="1" customHeight="1"/>
    <row r="431" ht="14.1" hidden="1" customHeight="1"/>
    <row r="432" ht="14.1" hidden="1" customHeight="1"/>
    <row r="433" ht="14.1" hidden="1" customHeight="1"/>
    <row r="434" ht="14.1" hidden="1" customHeight="1"/>
    <row r="435" ht="14.1" hidden="1" customHeight="1"/>
    <row r="436" ht="14.1" hidden="1" customHeight="1"/>
    <row r="437" ht="14.1" hidden="1" customHeight="1"/>
    <row r="438" ht="14.1" hidden="1" customHeight="1"/>
    <row r="439" ht="14.1" hidden="1" customHeight="1"/>
    <row r="440" ht="14.1" hidden="1" customHeight="1"/>
    <row r="441" ht="14.1" hidden="1" customHeight="1"/>
    <row r="442" ht="14.1" hidden="1" customHeight="1"/>
    <row r="443" ht="14.1" hidden="1" customHeight="1"/>
    <row r="444" ht="14.1" hidden="1" customHeight="1"/>
    <row r="445" ht="14.1" hidden="1" customHeight="1"/>
    <row r="446" ht="14.1" hidden="1" customHeight="1"/>
    <row r="447" ht="14.1" hidden="1" customHeight="1"/>
    <row r="448" ht="14.1" hidden="1" customHeight="1"/>
    <row r="449" ht="14.1" hidden="1" customHeight="1"/>
    <row r="450" ht="14.1" hidden="1" customHeight="1"/>
    <row r="451" ht="14.1" hidden="1" customHeight="1"/>
    <row r="452" ht="14.1" hidden="1" customHeight="1"/>
    <row r="453" ht="14.1" hidden="1" customHeight="1"/>
    <row r="454" ht="14.1" hidden="1" customHeight="1"/>
    <row r="455" ht="14.1" hidden="1" customHeight="1"/>
    <row r="456" ht="14.1" hidden="1" customHeight="1"/>
    <row r="457" ht="14.1" hidden="1" customHeight="1"/>
    <row r="458" ht="14.1" hidden="1" customHeight="1"/>
    <row r="459" ht="14.1" hidden="1" customHeight="1"/>
    <row r="460" ht="14.1" hidden="1" customHeight="1"/>
    <row r="461" ht="14.1" hidden="1" customHeight="1"/>
    <row r="462" ht="14.1" hidden="1" customHeight="1"/>
    <row r="463" ht="14.1" hidden="1" customHeight="1"/>
    <row r="464" ht="14.1" hidden="1" customHeight="1"/>
    <row r="465" ht="14.1" hidden="1" customHeight="1"/>
    <row r="466" ht="14.1" hidden="1" customHeight="1"/>
    <row r="467" ht="14.1" hidden="1" customHeight="1"/>
    <row r="468" ht="14.1" hidden="1" customHeight="1"/>
    <row r="469" ht="14.1" hidden="1" customHeight="1"/>
    <row r="470" ht="14.1" hidden="1" customHeight="1"/>
    <row r="471" ht="14.1" hidden="1" customHeight="1"/>
    <row r="472" ht="14.1" hidden="1" customHeight="1"/>
    <row r="473" ht="14.1" hidden="1" customHeight="1"/>
    <row r="474" ht="14.1" hidden="1" customHeight="1"/>
    <row r="475" ht="14.1" hidden="1" customHeight="1"/>
    <row r="476" ht="14.1" hidden="1" customHeight="1"/>
    <row r="477" ht="14.1" hidden="1" customHeight="1"/>
    <row r="478" ht="14.1" hidden="1" customHeight="1"/>
    <row r="479" ht="14.1" hidden="1" customHeight="1"/>
    <row r="480" ht="14.1" hidden="1" customHeight="1"/>
    <row r="481" ht="14.1" hidden="1" customHeight="1"/>
    <row r="482" ht="14.1" hidden="1" customHeight="1"/>
    <row r="483" ht="14.1" hidden="1" customHeight="1"/>
    <row r="484" ht="14.1" hidden="1" customHeight="1"/>
    <row r="485" ht="14.1" hidden="1" customHeight="1"/>
    <row r="486" ht="14.1" hidden="1" customHeight="1"/>
    <row r="487" ht="14.1" hidden="1" customHeight="1"/>
    <row r="488" ht="14.1" hidden="1" customHeight="1"/>
    <row r="489" ht="14.1" hidden="1" customHeight="1"/>
    <row r="490" ht="14.1" hidden="1" customHeight="1"/>
    <row r="491" ht="14.1" hidden="1" customHeight="1"/>
    <row r="492" ht="14.1" hidden="1" customHeight="1"/>
    <row r="493" ht="14.1" hidden="1" customHeight="1"/>
    <row r="494" ht="14.1" hidden="1" customHeight="1"/>
    <row r="495" ht="14.1" hidden="1" customHeight="1"/>
    <row r="496" ht="14.1" hidden="1" customHeight="1"/>
    <row r="497" ht="14.1" hidden="1" customHeight="1"/>
    <row r="498" ht="14.1" hidden="1" customHeight="1"/>
    <row r="499" ht="14.1" hidden="1" customHeight="1"/>
    <row r="500" ht="14.1" hidden="1" customHeight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</sheetData>
  <sheetProtection sheet="1" objects="1" scenarios="1"/>
  <phoneticPr fontId="0" type="noConversion"/>
  <conditionalFormatting sqref="F17:F18 F28 F22:F26 F38:F42 F35:F36 F11:F13">
    <cfRule type="expression" dxfId="527" priority="1" stopIfTrue="1">
      <formula>IF(R11&gt;0,TRUE,FALSE)</formula>
    </cfRule>
  </conditionalFormatting>
  <conditionalFormatting sqref="D11:D13 D18:D19 D25:D26 D33 D28">
    <cfRule type="expression" dxfId="526" priority="2" stopIfTrue="1">
      <formula>IF(R11&gt;0,TRUE,FALSE)</formula>
    </cfRule>
  </conditionalFormatting>
  <conditionalFormatting sqref="D34">
    <cfRule type="expression" dxfId="525" priority="3" stopIfTrue="1">
      <formula>IF(D33="MANUAL",TRUE,IF(R33&gt;0,TRUE,FALSE))</formula>
    </cfRule>
    <cfRule type="expression" dxfId="524" priority="4" stopIfTrue="1">
      <formula>IF(R34&gt;0,TRUE,FALSE)</formula>
    </cfRule>
  </conditionalFormatting>
  <conditionalFormatting sqref="D35">
    <cfRule type="expression" dxfId="523" priority="5" stopIfTrue="1">
      <formula>IF(D33="MANUAL",TRUE,IF(R33&gt;0,TRUE,FALSE))</formula>
    </cfRule>
    <cfRule type="expression" dxfId="522" priority="6" stopIfTrue="1">
      <formula>IF(R35&gt;0,TRUE,FALSE)</formula>
    </cfRule>
  </conditionalFormatting>
  <conditionalFormatting sqref="D37">
    <cfRule type="expression" dxfId="521" priority="7" stopIfTrue="1">
      <formula>IF(D33="MANUAL",TRUE,IF(R33&gt;0,TRUE,FALSE))</formula>
    </cfRule>
    <cfRule type="expression" dxfId="520" priority="8" stopIfTrue="1">
      <formula>IF(R37&gt;0,TRUE,FALSE)</formula>
    </cfRule>
  </conditionalFormatting>
  <conditionalFormatting sqref="D38">
    <cfRule type="expression" dxfId="519" priority="9" stopIfTrue="1">
      <formula>IF(D33="MANUAL",TRUE,IF(R33&gt;0,TRUE,FALSE))</formula>
    </cfRule>
    <cfRule type="expression" dxfId="518" priority="10" stopIfTrue="1">
      <formula>IF(R38&gt;0,TRUE,FALSE)</formula>
    </cfRule>
  </conditionalFormatting>
  <conditionalFormatting sqref="D40">
    <cfRule type="expression" dxfId="517" priority="11" stopIfTrue="1">
      <formula>IF(D33="MANUAL",TRUE,IF(R33&gt;0,TRUE,IF(D34&lt;&gt;"CONDUIT",TRUE,FALSE)))</formula>
    </cfRule>
    <cfRule type="expression" dxfId="516" priority="12" stopIfTrue="1">
      <formula>IF(R40&gt;0,TRUE,FALSE)</formula>
    </cfRule>
  </conditionalFormatting>
  <conditionalFormatting sqref="D41">
    <cfRule type="expression" dxfId="515" priority="13" stopIfTrue="1">
      <formula>IF(D33="MANUAL",TRUE,IF(R33&gt;0,TRUE,IF(D34&lt;&gt;"CONDUIT",TRUE,FALSE)))</formula>
    </cfRule>
    <cfRule type="expression" dxfId="514" priority="14" stopIfTrue="1">
      <formula>IF(R41&gt;0,TRUE,FALSE)</formula>
    </cfRule>
  </conditionalFormatting>
  <conditionalFormatting sqref="D42">
    <cfRule type="expression" dxfId="513" priority="15" stopIfTrue="1">
      <formula>IF(D33="MANUAL",TRUE,IF(R33&gt;0,TRUE,IF(D34&lt;&gt;"CONDUIT",TRUE,FALSE)))</formula>
    </cfRule>
    <cfRule type="expression" dxfId="512" priority="16" stopIfTrue="1">
      <formula>IF(R42&gt;0,TRUE,FALSE)</formula>
    </cfRule>
  </conditionalFormatting>
  <conditionalFormatting sqref="D43">
    <cfRule type="expression" dxfId="511" priority="17" stopIfTrue="1">
      <formula>IF(R$33&gt;0,TRUE,FALSE)</formula>
    </cfRule>
    <cfRule type="expression" dxfId="510" priority="18" stopIfTrue="1">
      <formula>IF(R43&gt;0,TRUE,FALSE)</formula>
    </cfRule>
  </conditionalFormatting>
  <conditionalFormatting sqref="F43">
    <cfRule type="expression" dxfId="509" priority="19" stopIfTrue="1">
      <formula>IF(R33&gt;0,FALSE,IF(R43&gt;0,TRUE,FALSE))</formula>
    </cfRule>
  </conditionalFormatting>
  <conditionalFormatting sqref="D32:F32">
    <cfRule type="expression" dxfId="508" priority="20" stopIfTrue="1">
      <formula>IF($S$34=22,TRUE,FALSE)</formula>
    </cfRule>
  </conditionalFormatting>
  <conditionalFormatting sqref="F19">
    <cfRule type="expression" dxfId="507" priority="21" stopIfTrue="1">
      <formula>IF(R19&gt;0,TRUE,IF(S34=22,TRUE,IF(S19=99,TRUE,FALSE)))</formula>
    </cfRule>
  </conditionalFormatting>
  <conditionalFormatting sqref="F33 F56">
    <cfRule type="expression" dxfId="506" priority="22" stopIfTrue="1">
      <formula>IF(R33&gt;0,TRUE,IF(OR(S19=99,S20=88),TRUE,FALSE))</formula>
    </cfRule>
  </conditionalFormatting>
  <conditionalFormatting sqref="D36">
    <cfRule type="expression" dxfId="505" priority="23" stopIfTrue="1">
      <formula>IF(D33="MANUAL",TRUE,IF(R33&gt;0,TRUE,FALSE))</formula>
    </cfRule>
    <cfRule type="expression" dxfId="504" priority="24" stopIfTrue="1">
      <formula>IF(R36&gt;0,TRUE,FALSE)</formula>
    </cfRule>
  </conditionalFormatting>
  <conditionalFormatting sqref="D48:D52 D54">
    <cfRule type="expression" dxfId="503" priority="25" stopIfTrue="1">
      <formula>IF($R$33&gt;0,TRUE,IF($D$33="AUTO",TRUE,FALSE))</formula>
    </cfRule>
  </conditionalFormatting>
  <conditionalFormatting sqref="D56">
    <cfRule type="expression" dxfId="502" priority="26" stopIfTrue="1">
      <formula>IF($R$33&gt;0,TRUE,IF(D33="AUTO",TRUE,FALSE))</formula>
    </cfRule>
    <cfRule type="expression" dxfId="501" priority="27" stopIfTrue="1">
      <formula>IF(R56&gt;0,TRUE,FALSE)</formula>
    </cfRule>
  </conditionalFormatting>
  <conditionalFormatting sqref="C65:F69">
    <cfRule type="expression" dxfId="500" priority="28" stopIfTrue="1">
      <formula>IF($R$61&gt;0,TRUE,FALSE)</formula>
    </cfRule>
  </conditionalFormatting>
  <conditionalFormatting sqref="C78:F83">
    <cfRule type="expression" dxfId="499" priority="29" stopIfTrue="1">
      <formula>IF($R$73&gt;0,TRUE,FALSE)</formula>
    </cfRule>
  </conditionalFormatting>
  <conditionalFormatting sqref="D16:F16">
    <cfRule type="expression" dxfId="498" priority="30" stopIfTrue="1">
      <formula>IF($R$18=22,TRUE,FALSE)</formula>
    </cfRule>
  </conditionalFormatting>
  <conditionalFormatting sqref="D39">
    <cfRule type="expression" dxfId="497" priority="31" stopIfTrue="1">
      <formula>IF(R33&gt;0,TRUE,FALSE)</formula>
    </cfRule>
    <cfRule type="expression" dxfId="496" priority="32" stopIfTrue="1">
      <formula>IF(R39&gt;0,TRUE,FALSE)</formula>
    </cfRule>
  </conditionalFormatting>
  <conditionalFormatting sqref="F34">
    <cfRule type="expression" dxfId="495" priority="33" stopIfTrue="1">
      <formula>IF(R34&gt;0,TRUE,IF(S34=25,TRUE,IF(S34=22,TRUE,FALSE)))</formula>
    </cfRule>
  </conditionalFormatting>
  <conditionalFormatting sqref="F37">
    <cfRule type="expression" dxfId="494" priority="34" stopIfTrue="1">
      <formula>IF(R37&gt;0,TRUE,IF(S34=25,TRUE,FALSE))</formula>
    </cfRule>
  </conditionalFormatting>
  <conditionalFormatting sqref="D31">
    <cfRule type="expression" dxfId="493" priority="35" stopIfTrue="1">
      <formula>IF($S$34=22,TRUE,IF(OR(S19=99,S20=88),TRUE,IF(S34=25,TRUE,FALSE)))</formula>
    </cfRule>
  </conditionalFormatting>
  <conditionalFormatting sqref="E31">
    <cfRule type="expression" dxfId="492" priority="36" stopIfTrue="1">
      <formula>IF($S$34=22,TRUE,IF(OR(S19=99,S20=88),TRUE,IF(S34=25,TRUE,FALSE)))</formula>
    </cfRule>
  </conditionalFormatting>
  <conditionalFormatting sqref="F31">
    <cfRule type="expression" dxfId="491" priority="37" stopIfTrue="1">
      <formula>IF($S$34=22,TRUE,IF(OR(S19=99,S20=88),TRUE,IF(S34=25,TRUE,FALSE)))</formula>
    </cfRule>
  </conditionalFormatting>
  <conditionalFormatting sqref="N4">
    <cfRule type="expression" dxfId="490" priority="38" stopIfTrue="1">
      <formula>IF(R14&gt;0,TRUE,FALSE)</formula>
    </cfRule>
  </conditionalFormatting>
  <conditionalFormatting sqref="K4">
    <cfRule type="expression" dxfId="489" priority="39" stopIfTrue="1">
      <formula>IF(R14&gt;0,TRUE,FALSE)</formula>
    </cfRule>
  </conditionalFormatting>
  <conditionalFormatting sqref="F20">
    <cfRule type="expression" dxfId="488" priority="40" stopIfTrue="1">
      <formula>IF(R20&gt;0,TRUE,IF(OR(R11&gt;0,R12&gt;0,R13&gt;0),FALSE,IF(Y8&gt;0,TRUE,FALSE)))</formula>
    </cfRule>
  </conditionalFormatting>
  <conditionalFormatting sqref="D20">
    <cfRule type="expression" dxfId="487" priority="41" stopIfTrue="1">
      <formula>IF(AJ39&gt;0,FALSE,IF(R20&gt;0,TRUE,FALSE))</formula>
    </cfRule>
    <cfRule type="expression" dxfId="486" priority="42" stopIfTrue="1">
      <formula>IF(OR(R11&gt;0,R12&gt;0,R13&gt;0),FALSE,IF(Y8&gt;0,TRUE,FALSE))</formula>
    </cfRule>
  </conditionalFormatting>
  <conditionalFormatting sqref="F10">
    <cfRule type="expression" dxfId="485" priority="43" stopIfTrue="1">
      <formula>IF(R15&gt;0,TRUE,FALSE)</formula>
    </cfRule>
  </conditionalFormatting>
  <conditionalFormatting sqref="D10">
    <cfRule type="expression" dxfId="484" priority="44" stopIfTrue="1">
      <formula>IF(R15&gt;0,TRUE,FALSE)</formula>
    </cfRule>
  </conditionalFormatting>
  <conditionalFormatting sqref="N9:N38">
    <cfRule type="expression" dxfId="483" priority="45" stopIfTrue="1">
      <formula>IF(OR($R$11&gt;0,$R$12&gt;0,$R$13&gt;0,,$R$15&gt;0),FALSE,IF(AI9&gt;0,TRUE,IF($AI9=1,TRUE,FALSE)))</formula>
    </cfRule>
  </conditionalFormatting>
  <conditionalFormatting sqref="J10:J38">
    <cfRule type="expression" dxfId="482" priority="46" stopIfTrue="1">
      <formula>IF($AH10=0,TRUE,FALSE)</formula>
    </cfRule>
    <cfRule type="expression" dxfId="481" priority="47" stopIfTrue="1">
      <formula>IF(OR($R$11&gt;0,$R$12&gt;0,$R$13&gt;0,,$R$15&gt;0),FALSE,IF(AI10&gt;0,TRUE,IF($AI10=1,TRUE,FALSE)))</formula>
    </cfRule>
    <cfRule type="expression" dxfId="480" priority="48" stopIfTrue="1">
      <formula>IF(AJ10&gt;0,TRUE,FALSE)</formula>
    </cfRule>
  </conditionalFormatting>
  <conditionalFormatting sqref="K9:K38">
    <cfRule type="expression" dxfId="479" priority="49" stopIfTrue="1">
      <formula>IF($AH9=0,TRUE,FALSE)</formula>
    </cfRule>
    <cfRule type="expression" dxfId="478" priority="50" stopIfTrue="1">
      <formula>IF(OR($R$11&gt;0,$R$12&gt;0,$R$13&gt;0,,$R$15&gt;0),FALSE,IF(AI9&gt;0,TRUE,IF($AI9=1,TRUE,FALSE)))</formula>
    </cfRule>
    <cfRule type="expression" dxfId="477" priority="51" stopIfTrue="1">
      <formula>IF(AJ9&gt;0,TRUE,FALSE)</formula>
    </cfRule>
  </conditionalFormatting>
  <conditionalFormatting sqref="J9 J48:J57">
    <cfRule type="expression" dxfId="476" priority="52" stopIfTrue="1">
      <formula>IF($AH9=0,TRUE,FALSE)</formula>
    </cfRule>
    <cfRule type="expression" dxfId="475" priority="53" stopIfTrue="1">
      <formula>IF(OR($R$11&gt;0,$R$12&gt;0,$R$13&gt;0,,$R$15&gt;0),FALSE,IF(AI9&gt;0,TRUE,IF($AI9=1,TRUE,FALSE)))</formula>
    </cfRule>
    <cfRule type="expression" dxfId="474" priority="54" stopIfTrue="1">
      <formula>IF(AJ9&gt;0,TRUE,FALSE)</formula>
    </cfRule>
  </conditionalFormatting>
  <conditionalFormatting sqref="K48:K57">
    <cfRule type="expression" dxfId="473" priority="55" stopIfTrue="1">
      <formula>IF($AH48=0,TRUE,FALSE)</formula>
    </cfRule>
    <cfRule type="expression" dxfId="472" priority="56" stopIfTrue="1">
      <formula>IF(OR($R$11&gt;0,$R$12&gt;0,$R$13&gt;0,,$R$15&gt;0),FALSE,IF(AI48&gt;0,TRUE,IF($AI48=1,TRUE,FALSE)))</formula>
    </cfRule>
    <cfRule type="expression" dxfId="471" priority="57" stopIfTrue="1">
      <formula>IF(AJ48&gt;0,TRUE,FALSE)</formula>
    </cfRule>
  </conditionalFormatting>
  <conditionalFormatting sqref="K43">
    <cfRule type="expression" dxfId="470" priority="58" stopIfTrue="1">
      <formula>IF(R44&gt;0,TRUE,FALSE)</formula>
    </cfRule>
  </conditionalFormatting>
  <conditionalFormatting sqref="N43">
    <cfRule type="expression" dxfId="469" priority="59" stopIfTrue="1">
      <formula>IF(R44&gt;0,TRUE,FALSE)</formula>
    </cfRule>
  </conditionalFormatting>
  <conditionalFormatting sqref="N48:N57">
    <cfRule type="expression" dxfId="468" priority="60" stopIfTrue="1">
      <formula>IF(OR($R$11&gt;0,$R$12&gt;0,$R$13&gt;0,,$R$15&gt;0),FALSE,IF(AI48&gt;0,TRUE,IF($AI48=1,TRUE,FALSE)))</formula>
    </cfRule>
  </conditionalFormatting>
  <dataValidations count="18">
    <dataValidation type="list" allowBlank="1" showInputMessage="1" showErrorMessage="1" error="Select 1-Phase or 3-Phase" prompt="Select 1-Phase or 3-Phase" sqref="D11">
      <formula1>"1,3Y"</formula1>
    </dataValidation>
    <dataValidation type="whole" allowBlank="1" showInputMessage="1" showErrorMessage="1" error="Must be whole number between 200 - 600" prompt="Enter Hi-Vlotage" sqref="D12">
      <formula1>200</formula1>
      <formula2>600</formula2>
    </dataValidation>
    <dataValidation type="list" allowBlank="1" showInputMessage="1" showErrorMessage="1" error="Select YES or NO" prompt="Select YES or NO" sqref="D20 D18 D25:D26 D40 D28">
      <formula1>"YES,NO"</formula1>
    </dataValidation>
    <dataValidation type="whole" allowBlank="1" showInputMessage="1" showErrorMessage="1" error="Enter whole number between 100-6000" prompt="Enter minimum amps for main service" sqref="D19">
      <formula1>100</formula1>
      <formula2>6000</formula2>
    </dataValidation>
    <dataValidation type="list" allowBlank="1" showInputMessage="1" showErrorMessage="1" error="Select Number of Dwelling Units 3 or Larger" prompt="Select Number of Dwelling Units 3 or Larger" sqref="K4">
      <formula1>AF11:AF38</formula1>
    </dataValidation>
    <dataValidation type="list" allowBlank="1" showInputMessage="1" showErrorMessage="1" error="Select Method" prompt="Select Method" sqref="D33">
      <formula1>"AUTO,MANUAL"</formula1>
    </dataValidation>
    <dataValidation type="list" allowBlank="1" showInputMessage="1" showErrorMessage="1" error="Select Feeder Type" prompt="Select Feeder Type" sqref="D34">
      <formula1>"CONDUIT,SER,MC"</formula1>
    </dataValidation>
    <dataValidation type="whole" operator="greaterThan" allowBlank="1" showInputMessage="1" showErrorMessage="1" error="Entry must be five (5) or larger" prompt="Entry must be five (5) or larger" sqref="D35">
      <formula1>4</formula1>
    </dataValidation>
    <dataValidation type="list" operator="greaterThan" allowBlank="1" showInputMessage="1" showErrorMessage="1" error="Select CU or AL" prompt="Select CU or AL" sqref="D37">
      <formula1>"CU,AL"</formula1>
    </dataValidation>
    <dataValidation type="list" operator="greaterThan" allowBlank="1" showInputMessage="1" showErrorMessage="1" error="Select Wire Temp" prompt="Select Wire Temp" sqref="D38">
      <formula1>"60,75,90"</formula1>
    </dataValidation>
    <dataValidation type="whole" allowBlank="1" showInputMessage="1" showErrorMessage="1" error="Enter % Factor" prompt="Enter % Factor" sqref="D39">
      <formula1>0</formula1>
      <formula2>600</formula2>
    </dataValidation>
    <dataValidation type="list" allowBlank="1" showInputMessage="1" showErrorMessage="1" error="Select Wire Type" prompt="Select Wire Type" sqref="D41">
      <formula1>"THW,RHW,THHN,XHHW,THW-CA,THHN-CA,XHHW-CA"</formula1>
    </dataValidation>
    <dataValidation type="list" allowBlank="1" showInputMessage="1" showErrorMessage="1" error="Select Conduit Type" prompt="Select Conduit Type" sqref="D42">
      <formula1>"RIGID,EMT,IMC,PVC-40,RIGID/PVC,FLEX,LT-FLEX"</formula1>
    </dataValidation>
    <dataValidation type="list" allowBlank="1" showInputMessage="1" showErrorMessage="1" error="Select Underground or Overhead" prompt="Select Underground or Overhead" sqref="D43">
      <formula1>"OVERHEAD,UNDERGROUND"</formula1>
    </dataValidation>
    <dataValidation type="whole" operator="greaterThan" allowBlank="1" showInputMessage="1" showErrorMessage="1" error="Enter Whole Number Larger Than Zero" prompt="Enter Available Fault Current at Service Point" sqref="D36">
      <formula1>0</formula1>
    </dataValidation>
    <dataValidation type="whole" operator="greaterThan" allowBlank="1" showInputMessage="1" showErrorMessage="1" error="Enter Whole Number Larger Than Zero" prompt="Enter Available Fault Current at Main Panel" sqref="D56">
      <formula1>0</formula1>
    </dataValidation>
    <dataValidation type="list" allowBlank="1" showInputMessage="1" showErrorMessage="1" error="Select Code Year" prompt="Select Code Year" sqref="D10">
      <formula1>"2002,2005,2008,2011,2014"</formula1>
    </dataValidation>
    <dataValidation type="list" allowBlank="1" showInputMessage="1" showErrorMessage="1" error="Select Number of Commercial Units" prompt="Select Number of Commercial Units" sqref="K43">
      <formula1>"0,1,2,3,4,5,6,7,8,9,10"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AC43"/>
  <sheetViews>
    <sheetView showGridLines="0" showRowColHeaders="0" showOutlineSymbols="0" workbookViewId="0"/>
  </sheetViews>
  <sheetFormatPr defaultColWidth="0" defaultRowHeight="11.25" zeroHeight="1"/>
  <cols>
    <col min="1" max="1" width="3.5703125" style="179" customWidth="1"/>
    <col min="2" max="2" width="9.140625" style="179" customWidth="1"/>
    <col min="3" max="3" width="21.5703125" style="179" customWidth="1"/>
    <col min="4" max="7" width="9.140625" style="179" customWidth="1"/>
    <col min="8" max="8" width="14.42578125" style="179" customWidth="1"/>
    <col min="9" max="11" width="9.140625" style="179" customWidth="1"/>
    <col min="12" max="12" width="5.7109375" style="179" customWidth="1"/>
    <col min="13" max="13" width="10.7109375" style="179" customWidth="1"/>
    <col min="14" max="29" width="10.7109375" style="179" hidden="1" customWidth="1"/>
    <col min="30" max="16384" width="0" style="179" hidden="1"/>
  </cols>
  <sheetData>
    <row r="1" spans="2:22">
      <c r="B1" s="179" t="s">
        <v>684</v>
      </c>
      <c r="F1" s="179" t="s">
        <v>35</v>
      </c>
      <c r="H1" s="179" t="str">
        <f>IF(ISBLANK(Input!D4)=TRUE,"",Input!D4)</f>
        <v>SAMPLE PROJECT</v>
      </c>
    </row>
    <row r="2" spans="2:22">
      <c r="B2" s="179" t="str">
        <f>IF(O3&gt;0,"CALCULATIONS WILL NOT DISPLAY UNTILL ALL ERRORS ARE CORRECTED","")</f>
        <v/>
      </c>
    </row>
    <row r="3" spans="2:22">
      <c r="B3" s="179" t="str">
        <f>IF(P3&gt;0,"",IF(O4&gt;0,"DWELLING TEMPLATES NEED TO BE UPDATED",""))</f>
        <v/>
      </c>
      <c r="O3" s="319">
        <f>Calcs!M2</f>
        <v>0</v>
      </c>
      <c r="P3" s="179">
        <f>Calcs!N6</f>
        <v>0</v>
      </c>
    </row>
    <row r="4" spans="2:22">
      <c r="B4" s="411" t="s">
        <v>657</v>
      </c>
      <c r="D4" s="411" t="s">
        <v>157</v>
      </c>
      <c r="I4" s="411" t="s">
        <v>685</v>
      </c>
      <c r="O4" s="179">
        <f>Calcs!M6</f>
        <v>0</v>
      </c>
    </row>
    <row r="5" spans="2:22" ht="17.100000000000001" customHeight="1">
      <c r="B5" s="179" t="str">
        <f>IF(Input!D33="MANUAL","","SERVICE POINT TO MAIN PANEL")</f>
        <v>SERVICE POINT TO MAIN PANEL</v>
      </c>
      <c r="D5" s="179" t="str">
        <f>IF(Input!D33="MANUAL","",VD!Z36)</f>
        <v>( 2 X 50' L X 0.0707 R X 218 A ÷ 1,000 X 0.866 ) = 1.3 VD</v>
      </c>
      <c r="I5" s="179" t="str">
        <f>IF(Input!D33="MANUAL","",VD!AL34)</f>
        <v/>
      </c>
    </row>
    <row r="6" spans="2:22" ht="17.100000000000001" customHeight="1">
      <c r="B6" s="179" t="str">
        <f>IF(VD!C34=0,"",S6)</f>
        <v/>
      </c>
      <c r="D6" s="179" t="str">
        <f>IF(VD!C34=0,"",VD!Z34)</f>
        <v/>
      </c>
      <c r="I6" s="179" t="str">
        <f>IF(VD!C34=0,"",VD!AL34)</f>
        <v/>
      </c>
      <c r="O6" s="179" t="s">
        <v>676</v>
      </c>
      <c r="P6" s="410" t="s">
        <v>937</v>
      </c>
      <c r="S6" s="179" t="str">
        <f>CONCATENATE(O6,P6)</f>
        <v>MAIN PANEL T0 HP1</v>
      </c>
      <c r="V6" s="179">
        <f>VD!C34</f>
        <v>0</v>
      </c>
    </row>
    <row r="7" spans="2:22" ht="17.100000000000001" customHeight="1">
      <c r="B7" s="179" t="str">
        <f>IF(OR(VD!C34=0,VD!C35=0),"",S7)</f>
        <v/>
      </c>
      <c r="D7" s="179" t="str">
        <f>IF(OR(VD!C34=0,VD!C35=0),"",VD!Z35)</f>
        <v/>
      </c>
      <c r="I7" s="179" t="str">
        <f>IF(OR(VD!C34=0,VD!C35=0),"",VD!AL35)</f>
        <v/>
      </c>
      <c r="O7" s="179" t="s">
        <v>676</v>
      </c>
      <c r="P7" s="410" t="s">
        <v>938</v>
      </c>
      <c r="S7" s="179" t="str">
        <f>CONCATENATE(O7,P7)</f>
        <v>MAIN PANEL T0 HP2</v>
      </c>
      <c r="V7" s="179">
        <f>VD!C35</f>
        <v>0</v>
      </c>
    </row>
    <row r="8" spans="2:22" ht="17.100000000000001" customHeight="1">
      <c r="B8" s="179" t="str">
        <f>IF(V8=0,"",S8)</f>
        <v>MAIN PANEL T0 DP</v>
      </c>
      <c r="D8" s="179" t="str">
        <f>IF(V8=0,"",VD!Z4)</f>
        <v>( 2 X 30' L X 0.2530 R X 98 A ÷ 1,000 X 1 ) = 1.5 VD</v>
      </c>
      <c r="I8" s="179" t="str">
        <f>IF(V8=0,"",VD!AL4)</f>
        <v>( 1.5 VD ÷ 208 V X 100 ) = 0.7 % VD</v>
      </c>
      <c r="O8" s="179" t="s">
        <v>675</v>
      </c>
      <c r="P8" s="179" t="str">
        <f>Import!E7</f>
        <v xml:space="preserve"> DP</v>
      </c>
      <c r="S8" s="179" t="str">
        <f>CONCATENATE(O8,P8)</f>
        <v>MAIN PANEL T0 DP</v>
      </c>
      <c r="V8" s="179">
        <f>VD!C4</f>
        <v>1</v>
      </c>
    </row>
    <row r="9" spans="2:22" ht="17.100000000000001" customHeight="1">
      <c r="B9" s="179" t="str">
        <f t="shared" ref="B9:B37" si="0">IF(V9=0,"",S9)</f>
        <v>MAIN PANEL T0 DP</v>
      </c>
      <c r="D9" s="179" t="str">
        <f>IF(V9=0,"",VD!Z5)</f>
        <v>( 2 X 30' L X 0.2530 R X 98 A ÷ 1,000 X 1 ) = 1.5 VD</v>
      </c>
      <c r="I9" s="179" t="str">
        <f>IF(V9=0,"",VD!AL5)</f>
        <v>( 1.5 VD ÷ 208 V X 100 ) = 0.7 % VD</v>
      </c>
      <c r="O9" s="179" t="s">
        <v>675</v>
      </c>
      <c r="P9" s="179" t="str">
        <f>Import!E8</f>
        <v xml:space="preserve"> DP</v>
      </c>
      <c r="S9" s="179" t="str">
        <f t="shared" ref="S9:S37" si="1">CONCATENATE(O9,P9)</f>
        <v>MAIN PANEL T0 DP</v>
      </c>
      <c r="V9" s="179">
        <f>VD!C5</f>
        <v>1</v>
      </c>
    </row>
    <row r="10" spans="2:22" ht="17.100000000000001" customHeight="1">
      <c r="B10" s="179" t="str">
        <f t="shared" si="0"/>
        <v>MAIN PANEL T0 DP</v>
      </c>
      <c r="D10" s="179" t="str">
        <f>IF(V10=0,"",VD!Z6)</f>
        <v>( 2 X 30' L X 0.2530 R X 98 A ÷ 1,000 X 1 ) = 1.5 VD</v>
      </c>
      <c r="I10" s="179" t="str">
        <f>IF(V10=0,"",VD!AL6)</f>
        <v>( 1.5 VD ÷ 208 V X 100 ) = 0.7 % VD</v>
      </c>
      <c r="O10" s="179" t="s">
        <v>675</v>
      </c>
      <c r="P10" s="179" t="str">
        <f>Import!E9</f>
        <v xml:space="preserve"> DP</v>
      </c>
      <c r="S10" s="179" t="str">
        <f t="shared" si="1"/>
        <v>MAIN PANEL T0 DP</v>
      </c>
      <c r="V10" s="179">
        <f>VD!C6</f>
        <v>1</v>
      </c>
    </row>
    <row r="11" spans="2:22" ht="17.100000000000001" customHeight="1">
      <c r="B11" s="179" t="str">
        <f t="shared" si="0"/>
        <v>MAIN PANEL T0 DP</v>
      </c>
      <c r="D11" s="179" t="str">
        <f>IF(V11=0,"",VD!Z7)</f>
        <v>( 2 X 30' L X 0.2530 R X 98 A ÷ 1,000 X 1 ) = 1.5 VD</v>
      </c>
      <c r="I11" s="179" t="str">
        <f>IF(V11=0,"",VD!AL7)</f>
        <v>( 1.5 VD ÷ 208 V X 100 ) = 0.7 % VD</v>
      </c>
      <c r="O11" s="179" t="s">
        <v>675</v>
      </c>
      <c r="P11" s="179" t="str">
        <f>Import!E10</f>
        <v xml:space="preserve"> DP</v>
      </c>
      <c r="S11" s="179" t="str">
        <f t="shared" si="1"/>
        <v>MAIN PANEL T0 DP</v>
      </c>
      <c r="V11" s="179">
        <f>VD!C7</f>
        <v>1</v>
      </c>
    </row>
    <row r="12" spans="2:22" ht="17.100000000000001" customHeight="1">
      <c r="B12" s="179" t="str">
        <f t="shared" si="0"/>
        <v>MAIN PANEL T0 DP</v>
      </c>
      <c r="D12" s="179" t="str">
        <f>IF(V12=0,"",VD!Z8)</f>
        <v>( 2 X 30' L X 0.2530 R X 98 A ÷ 1,000 X 1 ) = 1.5 VD</v>
      </c>
      <c r="I12" s="179" t="str">
        <f>IF(V12=0,"",VD!AL8)</f>
        <v>( 1.5 VD ÷ 208 V X 100 ) = 0.7 % VD</v>
      </c>
      <c r="O12" s="179" t="s">
        <v>675</v>
      </c>
      <c r="P12" s="179" t="str">
        <f>Import!E11</f>
        <v xml:space="preserve"> DP</v>
      </c>
      <c r="S12" s="179" t="str">
        <f t="shared" si="1"/>
        <v>MAIN PANEL T0 DP</v>
      </c>
      <c r="V12" s="179">
        <f>VD!C8</f>
        <v>1</v>
      </c>
    </row>
    <row r="13" spans="2:22" ht="17.100000000000001" customHeight="1">
      <c r="B13" s="179" t="str">
        <f t="shared" si="0"/>
        <v>MAIN PANEL T0 DP</v>
      </c>
      <c r="D13" s="179" t="str">
        <f>IF(V13=0,"",VD!Z9)</f>
        <v>( 2 X 30' L X 0.2530 R X 98 A ÷ 1,000 X 1 ) = 1.5 VD</v>
      </c>
      <c r="I13" s="179" t="str">
        <f>IF(V13=0,"",VD!AL9)</f>
        <v>( 1.5 VD ÷ 208 V X 100 ) = 0.7 % VD</v>
      </c>
      <c r="O13" s="179" t="s">
        <v>675</v>
      </c>
      <c r="P13" s="179" t="str">
        <f>Import!E12</f>
        <v xml:space="preserve"> DP</v>
      </c>
      <c r="S13" s="179" t="str">
        <f t="shared" si="1"/>
        <v>MAIN PANEL T0 DP</v>
      </c>
      <c r="V13" s="179">
        <f>VD!C9</f>
        <v>1</v>
      </c>
    </row>
    <row r="14" spans="2:22" ht="17.100000000000001" customHeight="1">
      <c r="B14" s="179" t="str">
        <f t="shared" si="0"/>
        <v/>
      </c>
      <c r="D14" s="179" t="str">
        <f>IF(V14=0,"",VD!Z10)</f>
        <v/>
      </c>
      <c r="I14" s="179" t="str">
        <f>IF(V14=0,"",VD!AL10)</f>
        <v/>
      </c>
      <c r="O14" s="179" t="s">
        <v>675</v>
      </c>
      <c r="P14" s="179" t="str">
        <f>Import!E13</f>
        <v xml:space="preserve"> </v>
      </c>
      <c r="S14" s="179" t="str">
        <f t="shared" si="1"/>
        <v xml:space="preserve">MAIN PANEL T0 </v>
      </c>
      <c r="V14" s="179">
        <f>VD!C10</f>
        <v>0</v>
      </c>
    </row>
    <row r="15" spans="2:22" ht="17.100000000000001" customHeight="1">
      <c r="B15" s="179" t="str">
        <f t="shared" si="0"/>
        <v/>
      </c>
      <c r="D15" s="179" t="str">
        <f>IF(V15=0,"",VD!Z11)</f>
        <v/>
      </c>
      <c r="I15" s="179" t="str">
        <f>IF(V15=0,"",VD!AL11)</f>
        <v/>
      </c>
      <c r="O15" s="179" t="s">
        <v>675</v>
      </c>
      <c r="P15" s="179" t="str">
        <f>Import!E14</f>
        <v xml:space="preserve"> </v>
      </c>
      <c r="S15" s="179" t="str">
        <f t="shared" si="1"/>
        <v xml:space="preserve">MAIN PANEL T0 </v>
      </c>
      <c r="V15" s="179">
        <f>VD!C11</f>
        <v>0</v>
      </c>
    </row>
    <row r="16" spans="2:22" ht="17.100000000000001" customHeight="1">
      <c r="B16" s="179" t="str">
        <f t="shared" si="0"/>
        <v/>
      </c>
      <c r="D16" s="179" t="str">
        <f>IF(V16=0,"",VD!Z12)</f>
        <v/>
      </c>
      <c r="I16" s="179" t="str">
        <f>IF(V16=0,"",VD!AL12)</f>
        <v/>
      </c>
      <c r="O16" s="179" t="s">
        <v>675</v>
      </c>
      <c r="P16" s="179" t="str">
        <f>Import!E15</f>
        <v xml:space="preserve"> </v>
      </c>
      <c r="S16" s="179" t="str">
        <f t="shared" si="1"/>
        <v xml:space="preserve">MAIN PANEL T0 </v>
      </c>
      <c r="V16" s="179">
        <f>VD!C12</f>
        <v>0</v>
      </c>
    </row>
    <row r="17" spans="2:22" ht="17.100000000000001" customHeight="1">
      <c r="B17" s="179" t="str">
        <f t="shared" si="0"/>
        <v/>
      </c>
      <c r="D17" s="179" t="str">
        <f>IF(V17=0,"",VD!Z13)</f>
        <v/>
      </c>
      <c r="I17" s="179" t="str">
        <f>IF(V17=0,"",VD!AL13)</f>
        <v/>
      </c>
      <c r="O17" s="179" t="s">
        <v>675</v>
      </c>
      <c r="P17" s="179" t="str">
        <f>Import!E16</f>
        <v xml:space="preserve"> </v>
      </c>
      <c r="S17" s="179" t="str">
        <f t="shared" si="1"/>
        <v xml:space="preserve">MAIN PANEL T0 </v>
      </c>
      <c r="V17" s="179">
        <f>VD!C13</f>
        <v>0</v>
      </c>
    </row>
    <row r="18" spans="2:22" ht="17.100000000000001" customHeight="1">
      <c r="B18" s="179" t="str">
        <f t="shared" si="0"/>
        <v/>
      </c>
      <c r="D18" s="179" t="str">
        <f>IF(V18=0,"",VD!Z14)</f>
        <v/>
      </c>
      <c r="I18" s="179" t="str">
        <f>IF(V18=0,"",VD!AL14)</f>
        <v/>
      </c>
      <c r="O18" s="179" t="s">
        <v>675</v>
      </c>
      <c r="P18" s="179" t="str">
        <f>Import!E17</f>
        <v xml:space="preserve"> </v>
      </c>
      <c r="S18" s="179" t="str">
        <f t="shared" si="1"/>
        <v xml:space="preserve">MAIN PANEL T0 </v>
      </c>
      <c r="V18" s="179">
        <f>VD!C14</f>
        <v>0</v>
      </c>
    </row>
    <row r="19" spans="2:22" ht="17.100000000000001" customHeight="1">
      <c r="B19" s="179" t="str">
        <f t="shared" si="0"/>
        <v/>
      </c>
      <c r="D19" s="179" t="str">
        <f>IF(V19=0,"",VD!Z15)</f>
        <v/>
      </c>
      <c r="I19" s="179" t="str">
        <f>IF(V19=0,"",VD!AL15)</f>
        <v/>
      </c>
      <c r="O19" s="179" t="s">
        <v>675</v>
      </c>
      <c r="P19" s="179" t="str">
        <f>Import!E18</f>
        <v xml:space="preserve"> </v>
      </c>
      <c r="S19" s="179" t="str">
        <f t="shared" si="1"/>
        <v xml:space="preserve">MAIN PANEL T0 </v>
      </c>
      <c r="V19" s="179">
        <f>VD!C15</f>
        <v>0</v>
      </c>
    </row>
    <row r="20" spans="2:22" ht="17.100000000000001" customHeight="1">
      <c r="B20" s="179" t="str">
        <f t="shared" si="0"/>
        <v/>
      </c>
      <c r="D20" s="179" t="str">
        <f>IF(V20=0,"",VD!Z16)</f>
        <v/>
      </c>
      <c r="I20" s="179" t="str">
        <f>IF(V20=0,"",VD!AL16)</f>
        <v/>
      </c>
      <c r="O20" s="179" t="s">
        <v>675</v>
      </c>
      <c r="P20" s="179" t="str">
        <f>Import!E19</f>
        <v xml:space="preserve"> </v>
      </c>
      <c r="S20" s="179" t="str">
        <f t="shared" si="1"/>
        <v xml:space="preserve">MAIN PANEL T0 </v>
      </c>
      <c r="V20" s="179">
        <f>VD!C16</f>
        <v>0</v>
      </c>
    </row>
    <row r="21" spans="2:22" ht="17.100000000000001" customHeight="1">
      <c r="B21" s="179" t="str">
        <f t="shared" si="0"/>
        <v/>
      </c>
      <c r="D21" s="179" t="str">
        <f>IF(V21=0,"",VD!Z17)</f>
        <v/>
      </c>
      <c r="I21" s="179" t="str">
        <f>IF(V21=0,"",VD!AL17)</f>
        <v/>
      </c>
      <c r="O21" s="179" t="s">
        <v>675</v>
      </c>
      <c r="P21" s="179" t="str">
        <f>Import!E20</f>
        <v xml:space="preserve"> </v>
      </c>
      <c r="S21" s="179" t="str">
        <f t="shared" si="1"/>
        <v xml:space="preserve">MAIN PANEL T0 </v>
      </c>
      <c r="V21" s="179">
        <f>VD!C17</f>
        <v>0</v>
      </c>
    </row>
    <row r="22" spans="2:22" ht="17.100000000000001" customHeight="1">
      <c r="B22" s="179" t="str">
        <f t="shared" si="0"/>
        <v/>
      </c>
      <c r="D22" s="179" t="str">
        <f>IF(V22=0,"",VD!Z18)</f>
        <v/>
      </c>
      <c r="I22" s="179" t="str">
        <f>IF(V22=0,"",VD!AL18)</f>
        <v/>
      </c>
      <c r="O22" s="179" t="s">
        <v>675</v>
      </c>
      <c r="P22" s="179" t="str">
        <f>Import!E21</f>
        <v xml:space="preserve"> </v>
      </c>
      <c r="S22" s="179" t="str">
        <f t="shared" si="1"/>
        <v xml:space="preserve">MAIN PANEL T0 </v>
      </c>
      <c r="V22" s="179">
        <f>VD!C18</f>
        <v>0</v>
      </c>
    </row>
    <row r="23" spans="2:22" ht="17.100000000000001" customHeight="1">
      <c r="B23" s="179" t="str">
        <f t="shared" si="0"/>
        <v/>
      </c>
      <c r="D23" s="179" t="str">
        <f>IF(V23=0,"",VD!Z19)</f>
        <v/>
      </c>
      <c r="I23" s="179" t="str">
        <f>IF(V23=0,"",VD!AL19)</f>
        <v/>
      </c>
      <c r="O23" s="179" t="s">
        <v>675</v>
      </c>
      <c r="P23" s="179" t="str">
        <f>Import!E22</f>
        <v xml:space="preserve"> </v>
      </c>
      <c r="S23" s="179" t="str">
        <f t="shared" si="1"/>
        <v xml:space="preserve">MAIN PANEL T0 </v>
      </c>
      <c r="V23" s="179">
        <f>VD!C19</f>
        <v>0</v>
      </c>
    </row>
    <row r="24" spans="2:22" ht="17.100000000000001" customHeight="1">
      <c r="B24" s="179" t="str">
        <f t="shared" si="0"/>
        <v/>
      </c>
      <c r="D24" s="179" t="str">
        <f>IF(V24=0,"",VD!Z20)</f>
        <v/>
      </c>
      <c r="I24" s="179" t="str">
        <f>IF(V24=0,"",VD!AL20)</f>
        <v/>
      </c>
      <c r="O24" s="179" t="s">
        <v>675</v>
      </c>
      <c r="P24" s="179" t="str">
        <f>Import!E23</f>
        <v xml:space="preserve"> </v>
      </c>
      <c r="S24" s="179" t="str">
        <f t="shared" si="1"/>
        <v xml:space="preserve">MAIN PANEL T0 </v>
      </c>
      <c r="V24" s="179">
        <f>VD!C20</f>
        <v>0</v>
      </c>
    </row>
    <row r="25" spans="2:22" ht="17.100000000000001" customHeight="1">
      <c r="B25" s="179" t="str">
        <f t="shared" si="0"/>
        <v/>
      </c>
      <c r="D25" s="179" t="str">
        <f>IF(V25=0,"",VD!Z21)</f>
        <v/>
      </c>
      <c r="I25" s="179" t="str">
        <f>IF(V25=0,"",VD!AL21)</f>
        <v/>
      </c>
      <c r="O25" s="179" t="s">
        <v>675</v>
      </c>
      <c r="P25" s="179" t="str">
        <f>Import!E24</f>
        <v xml:space="preserve"> </v>
      </c>
      <c r="S25" s="179" t="str">
        <f t="shared" si="1"/>
        <v xml:space="preserve">MAIN PANEL T0 </v>
      </c>
      <c r="V25" s="179">
        <f>VD!C21</f>
        <v>0</v>
      </c>
    </row>
    <row r="26" spans="2:22" ht="17.100000000000001" customHeight="1">
      <c r="B26" s="179" t="str">
        <f t="shared" si="0"/>
        <v/>
      </c>
      <c r="D26" s="179" t="str">
        <f>IF(V26=0,"",VD!Z22)</f>
        <v/>
      </c>
      <c r="I26" s="179" t="str">
        <f>IF(V26=0,"",VD!AL22)</f>
        <v/>
      </c>
      <c r="O26" s="179" t="s">
        <v>675</v>
      </c>
      <c r="P26" s="179" t="str">
        <f>Import!E25</f>
        <v xml:space="preserve"> </v>
      </c>
      <c r="S26" s="179" t="str">
        <f t="shared" si="1"/>
        <v xml:space="preserve">MAIN PANEL T0 </v>
      </c>
      <c r="V26" s="179">
        <f>VD!C22</f>
        <v>0</v>
      </c>
    </row>
    <row r="27" spans="2:22" ht="17.100000000000001" customHeight="1">
      <c r="B27" s="179" t="str">
        <f t="shared" si="0"/>
        <v/>
      </c>
      <c r="D27" s="179" t="str">
        <f>IF(V27=0,"",VD!Z23)</f>
        <v/>
      </c>
      <c r="I27" s="179" t="str">
        <f>IF(V27=0,"",VD!AL23)</f>
        <v/>
      </c>
      <c r="O27" s="179" t="s">
        <v>675</v>
      </c>
      <c r="P27" s="179" t="str">
        <f>Import!E26</f>
        <v xml:space="preserve"> </v>
      </c>
      <c r="S27" s="179" t="str">
        <f t="shared" si="1"/>
        <v xml:space="preserve">MAIN PANEL T0 </v>
      </c>
      <c r="V27" s="179">
        <f>VD!C23</f>
        <v>0</v>
      </c>
    </row>
    <row r="28" spans="2:22" ht="17.100000000000001" customHeight="1">
      <c r="B28" s="179" t="str">
        <f t="shared" si="0"/>
        <v/>
      </c>
      <c r="D28" s="179" t="str">
        <f>IF(V28=0,"",VD!Z24)</f>
        <v/>
      </c>
      <c r="I28" s="179" t="str">
        <f>IF(V28=0,"",VD!AL24)</f>
        <v/>
      </c>
      <c r="O28" s="179" t="s">
        <v>675</v>
      </c>
      <c r="P28" s="179" t="str">
        <f>Import!E27</f>
        <v xml:space="preserve"> </v>
      </c>
      <c r="S28" s="179" t="str">
        <f t="shared" si="1"/>
        <v xml:space="preserve">MAIN PANEL T0 </v>
      </c>
      <c r="V28" s="179">
        <f>VD!C24</f>
        <v>0</v>
      </c>
    </row>
    <row r="29" spans="2:22" ht="17.100000000000001" customHeight="1">
      <c r="B29" s="179" t="str">
        <f t="shared" si="0"/>
        <v/>
      </c>
      <c r="D29" s="179" t="str">
        <f>IF(V29=0,"",VD!Z25)</f>
        <v/>
      </c>
      <c r="I29" s="179" t="str">
        <f>IF(V29=0,"",VD!AL25)</f>
        <v/>
      </c>
      <c r="O29" s="179" t="s">
        <v>675</v>
      </c>
      <c r="P29" s="179" t="str">
        <f>Import!E28</f>
        <v xml:space="preserve"> </v>
      </c>
      <c r="S29" s="179" t="str">
        <f t="shared" si="1"/>
        <v xml:space="preserve">MAIN PANEL T0 </v>
      </c>
      <c r="V29" s="179">
        <f>VD!C25</f>
        <v>0</v>
      </c>
    </row>
    <row r="30" spans="2:22" ht="17.100000000000001" customHeight="1">
      <c r="B30" s="179" t="str">
        <f t="shared" si="0"/>
        <v/>
      </c>
      <c r="D30" s="179" t="str">
        <f>IF(V30=0,"",VD!Z26)</f>
        <v/>
      </c>
      <c r="I30" s="179" t="str">
        <f>IF(V30=0,"",VD!AL26)</f>
        <v/>
      </c>
      <c r="O30" s="179" t="s">
        <v>675</v>
      </c>
      <c r="P30" s="179" t="str">
        <f>Import!E29</f>
        <v xml:space="preserve"> </v>
      </c>
      <c r="S30" s="179" t="str">
        <f t="shared" si="1"/>
        <v xml:space="preserve">MAIN PANEL T0 </v>
      </c>
      <c r="V30" s="179">
        <f>VD!C26</f>
        <v>0</v>
      </c>
    </row>
    <row r="31" spans="2:22" ht="17.100000000000001" customHeight="1">
      <c r="B31" s="179" t="str">
        <f t="shared" si="0"/>
        <v/>
      </c>
      <c r="D31" s="179" t="str">
        <f>IF(V31=0,"",VD!Z27)</f>
        <v/>
      </c>
      <c r="I31" s="179" t="str">
        <f>IF(V31=0,"",VD!AL27)</f>
        <v/>
      </c>
      <c r="O31" s="179" t="s">
        <v>675</v>
      </c>
      <c r="P31" s="179" t="str">
        <f>Import!E30</f>
        <v xml:space="preserve"> </v>
      </c>
      <c r="S31" s="179" t="str">
        <f t="shared" si="1"/>
        <v xml:space="preserve">MAIN PANEL T0 </v>
      </c>
      <c r="V31" s="179">
        <f>VD!C27</f>
        <v>0</v>
      </c>
    </row>
    <row r="32" spans="2:22" ht="17.100000000000001" customHeight="1">
      <c r="B32" s="179" t="str">
        <f t="shared" si="0"/>
        <v/>
      </c>
      <c r="D32" s="179" t="str">
        <f>IF(V32=0,"",VD!Z28)</f>
        <v/>
      </c>
      <c r="I32" s="179" t="str">
        <f>IF(V32=0,"",VD!AL28)</f>
        <v/>
      </c>
      <c r="O32" s="179" t="s">
        <v>675</v>
      </c>
      <c r="P32" s="179" t="str">
        <f>Import!E31</f>
        <v xml:space="preserve"> </v>
      </c>
      <c r="S32" s="179" t="str">
        <f t="shared" si="1"/>
        <v xml:space="preserve">MAIN PANEL T0 </v>
      </c>
      <c r="V32" s="179">
        <f>VD!C28</f>
        <v>0</v>
      </c>
    </row>
    <row r="33" spans="2:22" ht="17.100000000000001" customHeight="1">
      <c r="B33" s="179" t="str">
        <f t="shared" si="0"/>
        <v/>
      </c>
      <c r="D33" s="179" t="str">
        <f>IF(V33=0,"",VD!Z29)</f>
        <v/>
      </c>
      <c r="I33" s="179" t="str">
        <f>IF(V33=0,"",VD!AL29)</f>
        <v/>
      </c>
      <c r="O33" s="179" t="s">
        <v>675</v>
      </c>
      <c r="P33" s="179" t="str">
        <f>Import!E32</f>
        <v xml:space="preserve"> </v>
      </c>
      <c r="S33" s="179" t="str">
        <f t="shared" si="1"/>
        <v xml:space="preserve">MAIN PANEL T0 </v>
      </c>
      <c r="V33" s="179">
        <f>VD!C29</f>
        <v>0</v>
      </c>
    </row>
    <row r="34" spans="2:22" ht="17.100000000000001" customHeight="1">
      <c r="B34" s="179" t="str">
        <f t="shared" si="0"/>
        <v/>
      </c>
      <c r="D34" s="179" t="str">
        <f>IF(V34=0,"",VD!Z30)</f>
        <v/>
      </c>
      <c r="I34" s="179" t="str">
        <f>IF(V34=0,"",VD!AL30)</f>
        <v/>
      </c>
      <c r="O34" s="179" t="s">
        <v>675</v>
      </c>
      <c r="P34" s="179" t="str">
        <f>Import!E33</f>
        <v xml:space="preserve"> </v>
      </c>
      <c r="S34" s="179" t="str">
        <f t="shared" si="1"/>
        <v xml:space="preserve">MAIN PANEL T0 </v>
      </c>
      <c r="V34" s="179">
        <f>VD!C30</f>
        <v>0</v>
      </c>
    </row>
    <row r="35" spans="2:22" ht="17.100000000000001" customHeight="1">
      <c r="B35" s="179" t="str">
        <f t="shared" si="0"/>
        <v/>
      </c>
      <c r="D35" s="179" t="str">
        <f>IF(V35=0,"",VD!Z31)</f>
        <v/>
      </c>
      <c r="I35" s="179" t="str">
        <f>IF(V35=0,"",VD!AL31)</f>
        <v/>
      </c>
      <c r="O35" s="179" t="s">
        <v>675</v>
      </c>
      <c r="P35" s="179" t="str">
        <f>Import!E34</f>
        <v xml:space="preserve"> </v>
      </c>
      <c r="S35" s="179" t="str">
        <f t="shared" si="1"/>
        <v xml:space="preserve">MAIN PANEL T0 </v>
      </c>
      <c r="V35" s="179">
        <f>VD!C31</f>
        <v>0</v>
      </c>
    </row>
    <row r="36" spans="2:22" ht="17.100000000000001" customHeight="1">
      <c r="B36" s="179" t="str">
        <f t="shared" si="0"/>
        <v/>
      </c>
      <c r="D36" s="179" t="str">
        <f>IF(V36=0,"",VD!Z32)</f>
        <v/>
      </c>
      <c r="I36" s="179" t="str">
        <f>IF(V36=0,"",VD!AL32)</f>
        <v/>
      </c>
      <c r="O36" s="179" t="s">
        <v>675</v>
      </c>
      <c r="P36" s="179" t="str">
        <f>Import!E35</f>
        <v xml:space="preserve"> </v>
      </c>
      <c r="S36" s="179" t="str">
        <f t="shared" si="1"/>
        <v xml:space="preserve">MAIN PANEL T0 </v>
      </c>
      <c r="V36" s="179">
        <f>VD!C32</f>
        <v>0</v>
      </c>
    </row>
    <row r="37" spans="2:22" ht="17.100000000000001" customHeight="1">
      <c r="B37" s="179" t="str">
        <f t="shared" si="0"/>
        <v/>
      </c>
      <c r="D37" s="179" t="str">
        <f>IF(V37=0,"",VD!Z33)</f>
        <v/>
      </c>
      <c r="I37" s="179" t="str">
        <f>IF(V37=0,"",VD!AL33)</f>
        <v/>
      </c>
      <c r="O37" s="179" t="s">
        <v>675</v>
      </c>
      <c r="P37" s="179" t="str">
        <f>Import!E36</f>
        <v xml:space="preserve"> </v>
      </c>
      <c r="S37" s="179" t="str">
        <f t="shared" si="1"/>
        <v xml:space="preserve">MAIN PANEL T0 </v>
      </c>
      <c r="V37" s="179">
        <f>VD!C33</f>
        <v>0</v>
      </c>
    </row>
    <row r="38" spans="2:22"/>
    <row r="39" spans="2:22">
      <c r="D39" s="179" t="s">
        <v>641</v>
      </c>
    </row>
    <row r="40" spans="2:22">
      <c r="D40" s="179" t="s">
        <v>642</v>
      </c>
      <c r="F40" s="179" t="s">
        <v>686</v>
      </c>
    </row>
    <row r="41" spans="2:22">
      <c r="D41" s="179" t="s">
        <v>648</v>
      </c>
      <c r="F41" s="179" t="s">
        <v>655</v>
      </c>
    </row>
    <row r="42" spans="2:22"/>
    <row r="43" spans="2:22" hidden="1"/>
  </sheetData>
  <sheetProtection password="DDCA" sheet="1" objects="1" scenarios="1"/>
  <phoneticPr fontId="0" type="noConversion"/>
  <conditionalFormatting sqref="A1:A43 B4:B43 B1 C1:M43">
    <cfRule type="expression" dxfId="391" priority="1" stopIfTrue="1">
      <formula>-IF($O$3&gt;0,TRUE,FALSE)</formula>
    </cfRule>
  </conditionalFormatting>
  <conditionalFormatting sqref="B2">
    <cfRule type="expression" dxfId="390" priority="2" stopIfTrue="1">
      <formula>-IF($O$3&gt;0,TRUE,FALSE)</formula>
    </cfRule>
  </conditionalFormatting>
  <conditionalFormatting sqref="B3">
    <cfRule type="expression" dxfId="389" priority="3" stopIfTrue="1">
      <formula>-IF($O$4&gt;0,TRUE,FALSE)</formula>
    </cfRule>
  </conditionalFormatting>
  <pageMargins left="0.25" right="0.25" top="0.25" bottom="0.25" header="0.5" footer="0.5"/>
  <pageSetup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516"/>
  <sheetViews>
    <sheetView showGridLines="0" showRowColHeaders="0" showOutlineSymbols="0" workbookViewId="0"/>
  </sheetViews>
  <sheetFormatPr defaultColWidth="0" defaultRowHeight="11.25" zeroHeight="1"/>
  <cols>
    <col min="1" max="1" width="2" style="179" customWidth="1"/>
    <col min="2" max="2" width="5" style="179" customWidth="1"/>
    <col min="3" max="3" width="11.5703125" style="179" customWidth="1"/>
    <col min="4" max="4" width="8.140625" style="179" customWidth="1"/>
    <col min="5" max="5" width="11.7109375" style="179" customWidth="1"/>
    <col min="6" max="14" width="9.140625" style="179" customWidth="1"/>
    <col min="15" max="15" width="10.42578125" style="179" customWidth="1"/>
    <col min="16" max="16" width="15.7109375" style="179" customWidth="1"/>
    <col min="17" max="235" width="10.7109375" style="179" hidden="1" customWidth="1"/>
    <col min="236" max="16384" width="0" style="179" hidden="1"/>
  </cols>
  <sheetData>
    <row r="1" spans="1:25" ht="12" customHeight="1">
      <c r="A1" s="364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179" t="str">
        <f>Input!D26</f>
        <v>YES</v>
      </c>
      <c r="R1" s="319">
        <f>Calcs!M2</f>
        <v>0</v>
      </c>
    </row>
    <row r="2" spans="1:25" ht="12" customHeight="1">
      <c r="A2" s="364"/>
      <c r="B2" s="364" t="s">
        <v>674</v>
      </c>
      <c r="C2" s="364"/>
      <c r="D2" s="364"/>
      <c r="E2" s="364"/>
      <c r="F2" s="364" t="s">
        <v>35</v>
      </c>
      <c r="G2" s="364"/>
      <c r="H2" s="364" t="str">
        <f>IF(ISBLANK(Input!D4)=TRUE,"",Input!D4)</f>
        <v>SAMPLE PROJECT</v>
      </c>
      <c r="I2" s="364"/>
      <c r="J2" s="364"/>
      <c r="K2" s="364"/>
      <c r="L2" s="364"/>
      <c r="M2" s="364"/>
      <c r="N2" s="364"/>
      <c r="O2" s="364"/>
      <c r="P2" s="364"/>
      <c r="Q2" s="179">
        <f>'Update Check'!D54</f>
        <v>0</v>
      </c>
      <c r="R2" s="179">
        <f>Calcs!M6</f>
        <v>0</v>
      </c>
      <c r="S2" s="179">
        <f>Calcs!N6</f>
        <v>0</v>
      </c>
    </row>
    <row r="3" spans="1:25" ht="12" customHeight="1">
      <c r="A3" s="364"/>
      <c r="B3" s="528" t="str">
        <f>IF(Q1="NO","",IF(R1&gt;0,"CALCULATIONS WILL NOT DISPLAY UNTILL ALL ERRORS ARE CORRECTED",""))</f>
        <v/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</row>
    <row r="4" spans="1:25" ht="12" customHeight="1">
      <c r="A4" s="364"/>
      <c r="B4" s="364" t="str">
        <f>IF(Q1="NO","FAULT CALCULATION IS TURNED OFF",IF(R2&gt;0,"TEMPLATES NEED TO BE UPDATED",""))</f>
        <v/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</row>
    <row r="5" spans="1:25" ht="12" customHeight="1">
      <c r="A5" s="364"/>
      <c r="B5" s="364" t="str">
        <f>IF(Input!D33="MANUAL","AFC AT MAIN PANEL","SERVICE POINT TO MAIN PANEL")</f>
        <v>SERVICE POINT TO MAIN PANEL</v>
      </c>
      <c r="C5" s="364"/>
      <c r="D5" s="364"/>
      <c r="E5" s="364" t="str">
        <f>IF(Input!D33="MANUAL",T5,AFC!AO36)</f>
        <v>(( 30,000 AFC X 1.1 UA ) + 0.0 MC ) X ( 1  ÷ ( 1 + ( 1.732 X 30 L X (( 30,000 AFC X 1.1 UA ) + 0.0 MC )) ÷ ( 13,910 C X 1 N X 208 V ))) = 16,602 CLC</v>
      </c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R5" s="324" t="str">
        <f>TEXT(Input!D56,"#,##0")</f>
        <v>30,000</v>
      </c>
      <c r="S5" s="179" t="s">
        <v>556</v>
      </c>
      <c r="T5" s="179" t="str">
        <f>CONCATENATE(R5,S5)</f>
        <v>30,000 AFC</v>
      </c>
    </row>
    <row r="6" spans="1:25" ht="12" customHeight="1">
      <c r="A6" s="364"/>
      <c r="B6" s="364" t="str">
        <f>IF(AFC!C34=0,"",Y6)</f>
        <v>MAIN PANEL T0 HP1</v>
      </c>
      <c r="C6" s="364"/>
      <c r="D6" s="364"/>
      <c r="E6" s="364" t="str">
        <f>AFC!AO34</f>
        <v>(( 16,602 AFC X 1.0 UA ) + 0.0 MC ) X ( 1  ÷ ( 1 + ( 2.000 X 30 L X (( 16,602 AFC X 1.0 UA ) + 0.0 MC )) ÷ ( 2,425 C X 1 N X 208 V ))) = 7,167 CLC</v>
      </c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U6" s="179" t="s">
        <v>676</v>
      </c>
      <c r="V6" s="410" t="s">
        <v>937</v>
      </c>
      <c r="Y6" s="179" t="str">
        <f>CONCATENATE(U6,V6)</f>
        <v>MAIN PANEL T0 HP1</v>
      </c>
    </row>
    <row r="7" spans="1:25" ht="12" customHeight="1">
      <c r="A7" s="364"/>
      <c r="B7" s="364" t="str">
        <f>IF(OR(AFC!C34=0,AFC!C35=0),"",Y7)</f>
        <v/>
      </c>
      <c r="C7" s="364"/>
      <c r="D7" s="364"/>
      <c r="E7" s="364" t="str">
        <f>IF(OR(AFC!C34=0,AFC!C35=0),"",AFC!AO35)</f>
        <v/>
      </c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U7" s="179" t="s">
        <v>676</v>
      </c>
      <c r="V7" s="410" t="s">
        <v>938</v>
      </c>
      <c r="Y7" s="179" t="str">
        <f>CONCATENATE(U7,V7)</f>
        <v>MAIN PANEL T0 HP2</v>
      </c>
    </row>
    <row r="8" spans="1:25" ht="12" customHeight="1">
      <c r="A8" s="364"/>
      <c r="B8" s="364" t="str">
        <f>IF(Q8=0,"",Y8)</f>
        <v>MAIN PANEL T0 DP</v>
      </c>
      <c r="C8" s="364"/>
      <c r="D8" s="364"/>
      <c r="E8" s="364" t="str">
        <f>IF(Q8=0,"",AFC!AO4)</f>
        <v>(( 16,602 AFC X 1.0 UA ) + 0.0 MC ) X ( 1  ÷ ( 1 + ( 2.000 X 30 L X (( 16,602 AFC X 1.0 UA ) + 0.0 MC )) ÷ ( 4,699 C X 1 N X 208 V ))) = 8,222 CLC</v>
      </c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179">
        <f>Import!B7</f>
        <v>1</v>
      </c>
      <c r="U8" s="179" t="s">
        <v>675</v>
      </c>
      <c r="V8" s="179" t="str">
        <f>Import!E7</f>
        <v xml:space="preserve"> DP</v>
      </c>
      <c r="Y8" s="179" t="str">
        <f>CONCATENATE(U8,V8)</f>
        <v>MAIN PANEL T0 DP</v>
      </c>
    </row>
    <row r="9" spans="1:25" ht="12" customHeight="1">
      <c r="A9" s="364"/>
      <c r="B9" s="364" t="str">
        <f t="shared" ref="B9:B37" si="0">IF(Q9=0,"",Y9)</f>
        <v>MAIN PANEL T0 DP</v>
      </c>
      <c r="C9" s="364"/>
      <c r="D9" s="364"/>
      <c r="E9" s="364" t="str">
        <f>IF(Q9=0,"",AFC!AO5)</f>
        <v>(( 16,602 AFC X 1.0 UA ) + 0.0 MC ) X ( 1  ÷ ( 1 + ( 2.000 X 30 L X (( 16,602 AFC X 1.0 UA ) + 0.0 MC )) ÷ ( 4,699 C X 1 N X 208 V ))) = 8,222 CLC</v>
      </c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179">
        <f>Import!B8</f>
        <v>1</v>
      </c>
      <c r="U9" s="179" t="s">
        <v>675</v>
      </c>
      <c r="V9" s="179" t="str">
        <f>Import!E8</f>
        <v xml:space="preserve"> DP</v>
      </c>
      <c r="Y9" s="179" t="str">
        <f t="shared" ref="Y9:Y37" si="1">CONCATENATE(U9,V9)</f>
        <v>MAIN PANEL T0 DP</v>
      </c>
    </row>
    <row r="10" spans="1:25" ht="12" customHeight="1">
      <c r="A10" s="364"/>
      <c r="B10" s="364" t="str">
        <f t="shared" si="0"/>
        <v>MAIN PANEL T0 DP</v>
      </c>
      <c r="C10" s="364"/>
      <c r="D10" s="364"/>
      <c r="E10" s="364" t="str">
        <f>IF(Q10=0,"",AFC!AO6)</f>
        <v>(( 16,602 AFC X 1.0 UA ) + 0.0 MC ) X ( 1  ÷ ( 1 + ( 2.000 X 30 L X (( 16,602 AFC X 1.0 UA ) + 0.0 MC )) ÷ ( 4,699 C X 1 N X 208 V ))) = 8,222 CLC</v>
      </c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179">
        <f>Import!B9</f>
        <v>1</v>
      </c>
      <c r="U10" s="179" t="s">
        <v>675</v>
      </c>
      <c r="V10" s="179" t="str">
        <f>Import!E9</f>
        <v xml:space="preserve"> DP</v>
      </c>
      <c r="Y10" s="179" t="str">
        <f t="shared" si="1"/>
        <v>MAIN PANEL T0 DP</v>
      </c>
    </row>
    <row r="11" spans="1:25" ht="12" customHeight="1">
      <c r="A11" s="364"/>
      <c r="B11" s="364" t="str">
        <f t="shared" si="0"/>
        <v>MAIN PANEL T0 DP</v>
      </c>
      <c r="C11" s="364"/>
      <c r="D11" s="364"/>
      <c r="E11" s="364" t="str">
        <f>IF(Q11=0,"",AFC!AO7)</f>
        <v>(( 16,602 AFC X 1.0 UA ) + 0.0 MC ) X ( 1  ÷ ( 1 + ( 2.000 X 30 L X (( 16,602 AFC X 1.0 UA ) + 0.0 MC )) ÷ ( 4,699 C X 1 N X 208 V ))) = 8,222 CLC</v>
      </c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179">
        <f>Import!B10</f>
        <v>1</v>
      </c>
      <c r="U11" s="179" t="s">
        <v>675</v>
      </c>
      <c r="V11" s="179" t="str">
        <f>Import!E10</f>
        <v xml:space="preserve"> DP</v>
      </c>
      <c r="Y11" s="179" t="str">
        <f t="shared" si="1"/>
        <v>MAIN PANEL T0 DP</v>
      </c>
    </row>
    <row r="12" spans="1:25" ht="12" customHeight="1">
      <c r="A12" s="364"/>
      <c r="B12" s="364" t="str">
        <f t="shared" si="0"/>
        <v>MAIN PANEL T0 DP</v>
      </c>
      <c r="C12" s="364"/>
      <c r="D12" s="364"/>
      <c r="E12" s="364" t="str">
        <f>IF(Q12=0,"",AFC!AO8)</f>
        <v>(( 16,602 AFC X 1.0 UA ) + 0.0 MC ) X ( 1  ÷ ( 1 + ( 2.000 X 30 L X (( 16,602 AFC X 1.0 UA ) + 0.0 MC )) ÷ ( 4,699 C X 1 N X 208 V ))) = 8,222 CLC</v>
      </c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179">
        <f>Import!B11</f>
        <v>1</v>
      </c>
      <c r="U12" s="179" t="s">
        <v>675</v>
      </c>
      <c r="V12" s="179" t="str">
        <f>Import!E11</f>
        <v xml:space="preserve"> DP</v>
      </c>
      <c r="Y12" s="179" t="str">
        <f t="shared" si="1"/>
        <v>MAIN PANEL T0 DP</v>
      </c>
    </row>
    <row r="13" spans="1:25" ht="12" customHeight="1">
      <c r="A13" s="364"/>
      <c r="B13" s="364" t="str">
        <f t="shared" si="0"/>
        <v>MAIN PANEL T0 DP</v>
      </c>
      <c r="C13" s="364"/>
      <c r="D13" s="364"/>
      <c r="E13" s="364" t="str">
        <f>IF(Q13=0,"",AFC!AO9)</f>
        <v>(( 16,602 AFC X 1.0 UA ) + 0.0 MC ) X ( 1  ÷ ( 1 + ( 2.000 X 30 L X (( 16,602 AFC X 1.0 UA ) + 0.0 MC )) ÷ ( 4,699 C X 1 N X 208 V ))) = 8,222 CLC</v>
      </c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179">
        <f>Import!B12</f>
        <v>1</v>
      </c>
      <c r="U13" s="179" t="s">
        <v>675</v>
      </c>
      <c r="V13" s="179" t="str">
        <f>Import!E12</f>
        <v xml:space="preserve"> DP</v>
      </c>
      <c r="Y13" s="179" t="str">
        <f t="shared" si="1"/>
        <v>MAIN PANEL T0 DP</v>
      </c>
    </row>
    <row r="14" spans="1:25" ht="12" customHeight="1">
      <c r="A14" s="364"/>
      <c r="B14" s="364" t="str">
        <f t="shared" si="0"/>
        <v/>
      </c>
      <c r="C14" s="364"/>
      <c r="D14" s="364"/>
      <c r="E14" s="364" t="str">
        <f>IF(Q14=0,"",AFC!AO10)</f>
        <v/>
      </c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179">
        <f>Import!B13</f>
        <v>0</v>
      </c>
      <c r="U14" s="179" t="s">
        <v>675</v>
      </c>
      <c r="V14" s="179" t="str">
        <f>Import!E13</f>
        <v xml:space="preserve"> </v>
      </c>
      <c r="Y14" s="179" t="str">
        <f t="shared" si="1"/>
        <v xml:space="preserve">MAIN PANEL T0 </v>
      </c>
    </row>
    <row r="15" spans="1:25" ht="12" customHeight="1">
      <c r="A15" s="364"/>
      <c r="B15" s="364" t="str">
        <f t="shared" si="0"/>
        <v/>
      </c>
      <c r="C15" s="364"/>
      <c r="D15" s="364"/>
      <c r="E15" s="364" t="str">
        <f>IF(Q15=0,"",AFC!AO11)</f>
        <v/>
      </c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179">
        <f>Import!B14</f>
        <v>0</v>
      </c>
      <c r="U15" s="179" t="s">
        <v>675</v>
      </c>
      <c r="V15" s="179" t="str">
        <f>Import!E14</f>
        <v xml:space="preserve"> </v>
      </c>
      <c r="Y15" s="179" t="str">
        <f t="shared" si="1"/>
        <v xml:space="preserve">MAIN PANEL T0 </v>
      </c>
    </row>
    <row r="16" spans="1:25" ht="12" customHeight="1">
      <c r="A16" s="364"/>
      <c r="B16" s="364" t="str">
        <f t="shared" si="0"/>
        <v/>
      </c>
      <c r="C16" s="364"/>
      <c r="D16" s="364"/>
      <c r="E16" s="364" t="str">
        <f>IF(Q16=0,"",AFC!AO12)</f>
        <v/>
      </c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179">
        <f>Import!B15</f>
        <v>0</v>
      </c>
      <c r="U16" s="179" t="s">
        <v>675</v>
      </c>
      <c r="V16" s="179" t="str">
        <f>Import!E15</f>
        <v xml:space="preserve"> </v>
      </c>
      <c r="Y16" s="179" t="str">
        <f t="shared" si="1"/>
        <v xml:space="preserve">MAIN PANEL T0 </v>
      </c>
    </row>
    <row r="17" spans="1:25" ht="12" customHeight="1">
      <c r="A17" s="364"/>
      <c r="B17" s="364" t="str">
        <f t="shared" si="0"/>
        <v/>
      </c>
      <c r="C17" s="364"/>
      <c r="D17" s="364"/>
      <c r="E17" s="364" t="str">
        <f>IF(Q17=0,"",AFC!AO13)</f>
        <v/>
      </c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179">
        <f>Import!B16</f>
        <v>0</v>
      </c>
      <c r="U17" s="179" t="s">
        <v>675</v>
      </c>
      <c r="V17" s="179" t="str">
        <f>Import!E16</f>
        <v xml:space="preserve"> </v>
      </c>
      <c r="Y17" s="179" t="str">
        <f t="shared" si="1"/>
        <v xml:space="preserve">MAIN PANEL T0 </v>
      </c>
    </row>
    <row r="18" spans="1:25" ht="12" customHeight="1">
      <c r="A18" s="364"/>
      <c r="B18" s="364" t="str">
        <f t="shared" si="0"/>
        <v/>
      </c>
      <c r="C18" s="364"/>
      <c r="D18" s="364"/>
      <c r="E18" s="364" t="str">
        <f>IF(Q18=0,"",AFC!AO14)</f>
        <v/>
      </c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179">
        <f>Import!B17</f>
        <v>0</v>
      </c>
      <c r="U18" s="179" t="s">
        <v>675</v>
      </c>
      <c r="V18" s="179" t="str">
        <f>Import!E17</f>
        <v xml:space="preserve"> </v>
      </c>
      <c r="Y18" s="179" t="str">
        <f t="shared" si="1"/>
        <v xml:space="preserve">MAIN PANEL T0 </v>
      </c>
    </row>
    <row r="19" spans="1:25" ht="12" customHeight="1">
      <c r="A19" s="364"/>
      <c r="B19" s="364" t="str">
        <f t="shared" si="0"/>
        <v/>
      </c>
      <c r="C19" s="364"/>
      <c r="D19" s="364"/>
      <c r="E19" s="364" t="str">
        <f>IF(Q19=0,"",AFC!AO15)</f>
        <v/>
      </c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179">
        <f>Import!B18</f>
        <v>0</v>
      </c>
      <c r="U19" s="179" t="s">
        <v>675</v>
      </c>
      <c r="V19" s="179" t="str">
        <f>Import!E18</f>
        <v xml:space="preserve"> </v>
      </c>
      <c r="Y19" s="179" t="str">
        <f t="shared" si="1"/>
        <v xml:space="preserve">MAIN PANEL T0 </v>
      </c>
    </row>
    <row r="20" spans="1:25" ht="12" customHeight="1">
      <c r="A20" s="364"/>
      <c r="B20" s="364" t="str">
        <f t="shared" si="0"/>
        <v/>
      </c>
      <c r="C20" s="364"/>
      <c r="D20" s="364"/>
      <c r="E20" s="364" t="str">
        <f>IF(Q20=0,"",AFC!AO16)</f>
        <v/>
      </c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179">
        <f>Import!B19</f>
        <v>0</v>
      </c>
      <c r="U20" s="179" t="s">
        <v>675</v>
      </c>
      <c r="V20" s="179" t="str">
        <f>Import!E19</f>
        <v xml:space="preserve"> </v>
      </c>
      <c r="Y20" s="179" t="str">
        <f t="shared" si="1"/>
        <v xml:space="preserve">MAIN PANEL T0 </v>
      </c>
    </row>
    <row r="21" spans="1:25" ht="12" customHeight="1">
      <c r="A21" s="364"/>
      <c r="B21" s="364" t="str">
        <f t="shared" si="0"/>
        <v/>
      </c>
      <c r="C21" s="364"/>
      <c r="D21" s="364"/>
      <c r="E21" s="364" t="str">
        <f>IF(Q21=0,"",AFC!AO17)</f>
        <v/>
      </c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179">
        <f>Import!B20</f>
        <v>0</v>
      </c>
      <c r="U21" s="179" t="s">
        <v>675</v>
      </c>
      <c r="V21" s="179" t="str">
        <f>Import!E20</f>
        <v xml:space="preserve"> </v>
      </c>
      <c r="Y21" s="179" t="str">
        <f t="shared" si="1"/>
        <v xml:space="preserve">MAIN PANEL T0 </v>
      </c>
    </row>
    <row r="22" spans="1:25" ht="12" customHeight="1">
      <c r="A22" s="364"/>
      <c r="B22" s="364" t="str">
        <f t="shared" si="0"/>
        <v/>
      </c>
      <c r="C22" s="364"/>
      <c r="D22" s="364"/>
      <c r="E22" s="364" t="str">
        <f>IF(Q22=0,"",AFC!AO18)</f>
        <v/>
      </c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179">
        <f>Import!B21</f>
        <v>0</v>
      </c>
      <c r="U22" s="179" t="s">
        <v>675</v>
      </c>
      <c r="V22" s="179" t="str">
        <f>Import!E21</f>
        <v xml:space="preserve"> </v>
      </c>
      <c r="Y22" s="179" t="str">
        <f t="shared" si="1"/>
        <v xml:space="preserve">MAIN PANEL T0 </v>
      </c>
    </row>
    <row r="23" spans="1:25" ht="12" customHeight="1">
      <c r="A23" s="364"/>
      <c r="B23" s="364" t="str">
        <f t="shared" si="0"/>
        <v/>
      </c>
      <c r="C23" s="364"/>
      <c r="D23" s="364"/>
      <c r="E23" s="364" t="str">
        <f>IF(Q23=0,"",AFC!AO19)</f>
        <v/>
      </c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179">
        <f>Import!B22</f>
        <v>0</v>
      </c>
      <c r="U23" s="179" t="s">
        <v>675</v>
      </c>
      <c r="V23" s="179" t="str">
        <f>Import!E22</f>
        <v xml:space="preserve"> </v>
      </c>
      <c r="Y23" s="179" t="str">
        <f t="shared" si="1"/>
        <v xml:space="preserve">MAIN PANEL T0 </v>
      </c>
    </row>
    <row r="24" spans="1:25" ht="12" customHeight="1">
      <c r="A24" s="364"/>
      <c r="B24" s="364" t="str">
        <f t="shared" si="0"/>
        <v/>
      </c>
      <c r="C24" s="364"/>
      <c r="D24" s="364"/>
      <c r="E24" s="364" t="str">
        <f>IF(Q24=0,"",AFC!AO20)</f>
        <v/>
      </c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179">
        <f>Import!B23</f>
        <v>0</v>
      </c>
      <c r="U24" s="179" t="s">
        <v>675</v>
      </c>
      <c r="V24" s="179" t="str">
        <f>Import!E23</f>
        <v xml:space="preserve"> </v>
      </c>
      <c r="Y24" s="179" t="str">
        <f t="shared" si="1"/>
        <v xml:space="preserve">MAIN PANEL T0 </v>
      </c>
    </row>
    <row r="25" spans="1:25" ht="12" customHeight="1">
      <c r="A25" s="364"/>
      <c r="B25" s="364" t="str">
        <f t="shared" si="0"/>
        <v/>
      </c>
      <c r="C25" s="364"/>
      <c r="D25" s="364"/>
      <c r="E25" s="364" t="str">
        <f>IF(Q25=0,"",AFC!AO21)</f>
        <v/>
      </c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179">
        <f>Import!B24</f>
        <v>0</v>
      </c>
      <c r="U25" s="179" t="s">
        <v>675</v>
      </c>
      <c r="V25" s="179" t="str">
        <f>Import!E24</f>
        <v xml:space="preserve"> </v>
      </c>
      <c r="Y25" s="179" t="str">
        <f t="shared" si="1"/>
        <v xml:space="preserve">MAIN PANEL T0 </v>
      </c>
    </row>
    <row r="26" spans="1:25" ht="12" customHeight="1">
      <c r="A26" s="364"/>
      <c r="B26" s="364" t="str">
        <f t="shared" si="0"/>
        <v/>
      </c>
      <c r="C26" s="364"/>
      <c r="D26" s="364"/>
      <c r="E26" s="364" t="str">
        <f>IF(Q26=0,"",AFC!AO22)</f>
        <v/>
      </c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179">
        <f>Import!B25</f>
        <v>0</v>
      </c>
      <c r="U26" s="179" t="s">
        <v>675</v>
      </c>
      <c r="V26" s="179" t="str">
        <f>Import!E25</f>
        <v xml:space="preserve"> </v>
      </c>
      <c r="Y26" s="179" t="str">
        <f t="shared" si="1"/>
        <v xml:space="preserve">MAIN PANEL T0 </v>
      </c>
    </row>
    <row r="27" spans="1:25" ht="12" customHeight="1">
      <c r="A27" s="364"/>
      <c r="B27" s="364" t="str">
        <f t="shared" si="0"/>
        <v/>
      </c>
      <c r="C27" s="364"/>
      <c r="D27" s="364"/>
      <c r="E27" s="364" t="str">
        <f>IF(Q27=0,"",AFC!AO23)</f>
        <v/>
      </c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179">
        <f>Import!B26</f>
        <v>0</v>
      </c>
      <c r="U27" s="179" t="s">
        <v>675</v>
      </c>
      <c r="V27" s="179" t="str">
        <f>Import!E26</f>
        <v xml:space="preserve"> </v>
      </c>
      <c r="Y27" s="179" t="str">
        <f t="shared" si="1"/>
        <v xml:space="preserve">MAIN PANEL T0 </v>
      </c>
    </row>
    <row r="28" spans="1:25" ht="12" customHeight="1">
      <c r="A28" s="364"/>
      <c r="B28" s="364" t="str">
        <f t="shared" si="0"/>
        <v/>
      </c>
      <c r="C28" s="364"/>
      <c r="D28" s="364"/>
      <c r="E28" s="364" t="str">
        <f>IF(Q28=0,"",AFC!AO24)</f>
        <v/>
      </c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179">
        <f>Import!B27</f>
        <v>0</v>
      </c>
      <c r="U28" s="179" t="s">
        <v>675</v>
      </c>
      <c r="V28" s="179" t="str">
        <f>Import!E27</f>
        <v xml:space="preserve"> </v>
      </c>
      <c r="Y28" s="179" t="str">
        <f t="shared" si="1"/>
        <v xml:space="preserve">MAIN PANEL T0 </v>
      </c>
    </row>
    <row r="29" spans="1:25" ht="12" customHeight="1">
      <c r="A29" s="364"/>
      <c r="B29" s="364" t="str">
        <f t="shared" si="0"/>
        <v/>
      </c>
      <c r="C29" s="364"/>
      <c r="D29" s="364"/>
      <c r="E29" s="364" t="str">
        <f>IF(Q29=0,"",AFC!AO25)</f>
        <v/>
      </c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179">
        <f>Import!B28</f>
        <v>0</v>
      </c>
      <c r="U29" s="179" t="s">
        <v>675</v>
      </c>
      <c r="V29" s="179" t="str">
        <f>Import!E28</f>
        <v xml:space="preserve"> </v>
      </c>
      <c r="Y29" s="179" t="str">
        <f t="shared" si="1"/>
        <v xml:space="preserve">MAIN PANEL T0 </v>
      </c>
    </row>
    <row r="30" spans="1:25" ht="12" customHeight="1">
      <c r="A30" s="364"/>
      <c r="B30" s="364" t="str">
        <f t="shared" si="0"/>
        <v/>
      </c>
      <c r="C30" s="364"/>
      <c r="D30" s="364"/>
      <c r="E30" s="364" t="str">
        <f>IF(Q30=0,"",AFC!AO26)</f>
        <v/>
      </c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179">
        <f>Import!B29</f>
        <v>0</v>
      </c>
      <c r="U30" s="179" t="s">
        <v>675</v>
      </c>
      <c r="V30" s="179" t="str">
        <f>Import!E29</f>
        <v xml:space="preserve"> </v>
      </c>
      <c r="Y30" s="179" t="str">
        <f t="shared" si="1"/>
        <v xml:space="preserve">MAIN PANEL T0 </v>
      </c>
    </row>
    <row r="31" spans="1:25" ht="12" customHeight="1">
      <c r="A31" s="364"/>
      <c r="B31" s="364" t="str">
        <f t="shared" si="0"/>
        <v/>
      </c>
      <c r="C31" s="364"/>
      <c r="D31" s="364"/>
      <c r="E31" s="364" t="str">
        <f>IF(Q31=0,"",AFC!AO27)</f>
        <v/>
      </c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179">
        <f>Import!B30</f>
        <v>0</v>
      </c>
      <c r="U31" s="179" t="s">
        <v>675</v>
      </c>
      <c r="V31" s="179" t="str">
        <f>Import!E30</f>
        <v xml:space="preserve"> </v>
      </c>
      <c r="Y31" s="179" t="str">
        <f t="shared" si="1"/>
        <v xml:space="preserve">MAIN PANEL T0 </v>
      </c>
    </row>
    <row r="32" spans="1:25" ht="12" customHeight="1">
      <c r="A32" s="364"/>
      <c r="B32" s="364" t="str">
        <f t="shared" si="0"/>
        <v/>
      </c>
      <c r="C32" s="364"/>
      <c r="D32" s="364"/>
      <c r="E32" s="364" t="str">
        <f>IF(Q32=0,"",AFC!AO28)</f>
        <v/>
      </c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179">
        <f>Import!B31</f>
        <v>0</v>
      </c>
      <c r="U32" s="179" t="s">
        <v>675</v>
      </c>
      <c r="V32" s="179" t="str">
        <f>Import!E31</f>
        <v xml:space="preserve"> </v>
      </c>
      <c r="Y32" s="179" t="str">
        <f t="shared" si="1"/>
        <v xml:space="preserve">MAIN PANEL T0 </v>
      </c>
    </row>
    <row r="33" spans="1:25" ht="12" customHeight="1">
      <c r="A33" s="364"/>
      <c r="B33" s="364" t="str">
        <f t="shared" si="0"/>
        <v/>
      </c>
      <c r="C33" s="364"/>
      <c r="D33" s="364"/>
      <c r="E33" s="364" t="str">
        <f>IF(Q33=0,"",AFC!AO29)</f>
        <v/>
      </c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179">
        <f>Import!B32</f>
        <v>0</v>
      </c>
      <c r="U33" s="179" t="s">
        <v>675</v>
      </c>
      <c r="V33" s="179" t="str">
        <f>Import!E32</f>
        <v xml:space="preserve"> </v>
      </c>
      <c r="Y33" s="179" t="str">
        <f t="shared" si="1"/>
        <v xml:space="preserve">MAIN PANEL T0 </v>
      </c>
    </row>
    <row r="34" spans="1:25" ht="12" customHeight="1">
      <c r="A34" s="364"/>
      <c r="B34" s="364" t="str">
        <f t="shared" si="0"/>
        <v/>
      </c>
      <c r="C34" s="364"/>
      <c r="D34" s="364"/>
      <c r="E34" s="364" t="str">
        <f>IF(Q34=0,"",AFC!AO30)</f>
        <v/>
      </c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179">
        <f>Import!B33</f>
        <v>0</v>
      </c>
      <c r="U34" s="179" t="s">
        <v>675</v>
      </c>
      <c r="V34" s="179" t="str">
        <f>Import!E33</f>
        <v xml:space="preserve"> </v>
      </c>
      <c r="Y34" s="179" t="str">
        <f t="shared" si="1"/>
        <v xml:space="preserve">MAIN PANEL T0 </v>
      </c>
    </row>
    <row r="35" spans="1:25" ht="12" customHeight="1">
      <c r="A35" s="364"/>
      <c r="B35" s="364" t="str">
        <f t="shared" si="0"/>
        <v/>
      </c>
      <c r="C35" s="364"/>
      <c r="D35" s="364"/>
      <c r="E35" s="364" t="str">
        <f>IF(Q35=0,"",AFC!AO31)</f>
        <v/>
      </c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179">
        <f>Import!B34</f>
        <v>0</v>
      </c>
      <c r="U35" s="179" t="s">
        <v>675</v>
      </c>
      <c r="V35" s="179" t="str">
        <f>Import!E34</f>
        <v xml:space="preserve"> </v>
      </c>
      <c r="Y35" s="179" t="str">
        <f t="shared" si="1"/>
        <v xml:space="preserve">MAIN PANEL T0 </v>
      </c>
    </row>
    <row r="36" spans="1:25" ht="12" customHeight="1">
      <c r="A36" s="364"/>
      <c r="B36" s="364" t="str">
        <f t="shared" si="0"/>
        <v/>
      </c>
      <c r="C36" s="364"/>
      <c r="D36" s="364"/>
      <c r="E36" s="364" t="str">
        <f>IF(Q36=0,"",AFC!AO32)</f>
        <v/>
      </c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179">
        <f>Import!B35</f>
        <v>0</v>
      </c>
      <c r="U36" s="179" t="s">
        <v>675</v>
      </c>
      <c r="V36" s="179" t="str">
        <f>Import!E35</f>
        <v xml:space="preserve"> </v>
      </c>
      <c r="Y36" s="179" t="str">
        <f t="shared" si="1"/>
        <v xml:space="preserve">MAIN PANEL T0 </v>
      </c>
    </row>
    <row r="37" spans="1:25" ht="12" customHeight="1">
      <c r="A37" s="364"/>
      <c r="B37" s="364" t="str">
        <f t="shared" si="0"/>
        <v/>
      </c>
      <c r="C37" s="364"/>
      <c r="D37" s="364"/>
      <c r="E37" s="364" t="str">
        <f>IF(Q37=0,"",AFC!AO33)</f>
        <v/>
      </c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179">
        <f>Import!B36</f>
        <v>0</v>
      </c>
      <c r="U37" s="179" t="s">
        <v>675</v>
      </c>
      <c r="V37" s="179" t="str">
        <f>Import!E36</f>
        <v xml:space="preserve"> </v>
      </c>
      <c r="Y37" s="179" t="str">
        <f t="shared" si="1"/>
        <v xml:space="preserve">MAIN PANEL T0 </v>
      </c>
    </row>
    <row r="38" spans="1:25" ht="12" customHeight="1">
      <c r="A38" s="364"/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</row>
    <row r="39" spans="1:25" ht="14.1" customHeight="1">
      <c r="A39" s="364"/>
      <c r="B39" s="364"/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</row>
    <row r="40" spans="1:25" ht="14.1" customHeight="1">
      <c r="A40" s="364"/>
      <c r="B40" s="364" t="s">
        <v>641</v>
      </c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</row>
    <row r="41" spans="1:25" ht="14.1" customHeight="1">
      <c r="A41" s="364"/>
      <c r="B41" s="364" t="s">
        <v>643</v>
      </c>
      <c r="C41" s="364"/>
      <c r="D41" s="364"/>
      <c r="E41" s="364"/>
      <c r="F41" s="364" t="s">
        <v>648</v>
      </c>
      <c r="G41" s="364"/>
      <c r="H41" s="364"/>
      <c r="I41" s="364" t="s">
        <v>652</v>
      </c>
      <c r="J41" s="364"/>
      <c r="K41" s="364"/>
      <c r="L41" s="364"/>
      <c r="M41" s="364"/>
      <c r="N41" s="364"/>
      <c r="O41" s="364"/>
      <c r="P41" s="364"/>
    </row>
    <row r="42" spans="1:25" ht="14.1" customHeight="1">
      <c r="A42" s="364"/>
      <c r="B42" s="364" t="s">
        <v>644</v>
      </c>
      <c r="C42" s="364"/>
      <c r="D42" s="364"/>
      <c r="E42" s="364"/>
      <c r="F42" s="364" t="s">
        <v>649</v>
      </c>
      <c r="G42" s="364"/>
      <c r="H42" s="364"/>
      <c r="I42" s="364" t="s">
        <v>653</v>
      </c>
      <c r="J42" s="364"/>
      <c r="K42" s="364"/>
      <c r="L42" s="364"/>
      <c r="M42" s="364"/>
      <c r="N42" s="364"/>
      <c r="O42" s="364"/>
      <c r="P42" s="364"/>
    </row>
    <row r="43" spans="1:25" ht="14.1" customHeight="1">
      <c r="A43" s="364"/>
      <c r="B43" s="364" t="s">
        <v>646</v>
      </c>
      <c r="C43" s="364"/>
      <c r="D43" s="364"/>
      <c r="E43" s="364"/>
      <c r="F43" s="364" t="s">
        <v>650</v>
      </c>
      <c r="G43" s="364"/>
      <c r="H43" s="364"/>
      <c r="I43" s="364"/>
      <c r="J43" s="364"/>
      <c r="K43" s="364"/>
      <c r="L43" s="364"/>
      <c r="M43" s="364"/>
      <c r="N43" s="364"/>
      <c r="O43" s="364"/>
      <c r="P43" s="364"/>
    </row>
    <row r="44" spans="1:25" ht="14.1" customHeight="1"/>
    <row r="45" spans="1:25" ht="14.1" customHeight="1"/>
    <row r="46" spans="1:25" ht="14.1" customHeight="1"/>
    <row r="47" spans="1:25" ht="14.1" customHeight="1"/>
    <row r="48" spans="1:25" ht="14.1" customHeight="1"/>
    <row r="49" ht="14.1" customHeight="1"/>
    <row r="50" ht="14.1" customHeight="1"/>
    <row r="51" ht="14.1" hidden="1" customHeight="1"/>
    <row r="52" ht="14.1" hidden="1" customHeight="1"/>
    <row r="53" ht="14.1" hidden="1" customHeight="1"/>
    <row r="54" ht="14.1" hidden="1" customHeight="1"/>
    <row r="55" ht="14.1" hidden="1" customHeight="1"/>
    <row r="56" ht="14.1" hidden="1" customHeight="1"/>
    <row r="57" ht="14.1" hidden="1" customHeight="1"/>
    <row r="58" ht="14.1" hidden="1" customHeight="1"/>
    <row r="59" ht="14.1" hidden="1" customHeight="1"/>
    <row r="60" ht="14.1" hidden="1" customHeight="1"/>
    <row r="61" ht="14.1" hidden="1" customHeight="1"/>
    <row r="62" ht="14.1" hidden="1" customHeight="1"/>
    <row r="63" ht="14.1" hidden="1" customHeight="1"/>
    <row r="64" ht="14.1" hidden="1" customHeight="1"/>
    <row r="65" ht="14.1" hidden="1" customHeight="1"/>
    <row r="66" ht="14.1" hidden="1" customHeight="1"/>
    <row r="67" ht="14.1" hidden="1" customHeight="1"/>
    <row r="68" ht="14.1" hidden="1" customHeight="1"/>
    <row r="69" ht="14.1" hidden="1" customHeight="1"/>
    <row r="70" ht="14.1" hidden="1" customHeight="1"/>
    <row r="71" ht="14.1" hidden="1" customHeight="1"/>
    <row r="72" ht="14.1" hidden="1" customHeight="1"/>
    <row r="73" ht="14.1" hidden="1" customHeight="1"/>
    <row r="74" ht="14.1" hidden="1" customHeight="1"/>
    <row r="75" ht="14.1" hidden="1" customHeight="1"/>
    <row r="76" ht="14.1" hidden="1" customHeight="1"/>
    <row r="77" ht="14.1" hidden="1" customHeight="1"/>
    <row r="78" ht="14.1" hidden="1" customHeight="1"/>
    <row r="79" ht="14.1" hidden="1" customHeight="1"/>
    <row r="80" ht="14.1" hidden="1" customHeight="1"/>
    <row r="81" ht="14.1" hidden="1" customHeight="1"/>
    <row r="82" ht="14.1" hidden="1" customHeight="1"/>
    <row r="83" ht="14.1" hidden="1" customHeight="1"/>
    <row r="84" ht="14.1" hidden="1" customHeight="1"/>
    <row r="85" ht="14.1" hidden="1" customHeight="1"/>
    <row r="86" ht="14.1" hidden="1" customHeight="1"/>
    <row r="87" ht="14.1" hidden="1" customHeight="1"/>
    <row r="88" ht="14.1" hidden="1" customHeight="1"/>
    <row r="89" ht="14.1" hidden="1" customHeight="1"/>
    <row r="90" ht="14.1" hidden="1" customHeight="1"/>
    <row r="91" ht="14.1" hidden="1" customHeight="1"/>
    <row r="92" ht="14.1" hidden="1" customHeight="1"/>
    <row r="93" ht="14.1" hidden="1" customHeight="1"/>
    <row r="94" ht="14.1" hidden="1" customHeight="1"/>
    <row r="95" ht="14.1" hidden="1" customHeight="1"/>
    <row r="96" ht="14.1" hidden="1" customHeight="1"/>
    <row r="97" ht="14.1" hidden="1" customHeight="1"/>
    <row r="98" ht="14.1" hidden="1" customHeight="1"/>
    <row r="99" ht="14.1" hidden="1" customHeight="1"/>
    <row r="100" ht="14.1" hidden="1" customHeight="1"/>
    <row r="101" ht="14.1" hidden="1" customHeight="1"/>
    <row r="102" ht="14.1" hidden="1" customHeight="1"/>
    <row r="103" ht="14.1" hidden="1" customHeight="1"/>
    <row r="104" ht="14.1" hidden="1" customHeight="1"/>
    <row r="105" ht="14.1" hidden="1" customHeight="1"/>
    <row r="106" ht="14.1" hidden="1" customHeight="1"/>
    <row r="107" ht="14.1" hidden="1" customHeight="1"/>
    <row r="108" ht="14.1" hidden="1" customHeight="1"/>
    <row r="109" ht="14.1" hidden="1" customHeight="1"/>
    <row r="110" ht="14.1" hidden="1" customHeight="1"/>
    <row r="111" ht="14.1" hidden="1" customHeight="1"/>
    <row r="112" ht="14.1" hidden="1" customHeight="1"/>
    <row r="113" ht="14.1" hidden="1" customHeight="1"/>
    <row r="114" ht="14.1" hidden="1" customHeight="1"/>
    <row r="115" ht="14.1" hidden="1" customHeight="1"/>
    <row r="116" ht="14.1" hidden="1" customHeight="1"/>
    <row r="117" ht="14.1" hidden="1" customHeight="1"/>
    <row r="118" ht="14.1" hidden="1" customHeight="1"/>
    <row r="119" ht="14.1" hidden="1" customHeight="1"/>
    <row r="120" ht="14.1" hidden="1" customHeight="1"/>
    <row r="121" ht="14.1" hidden="1" customHeight="1"/>
    <row r="122" ht="14.1" hidden="1" customHeight="1"/>
    <row r="123" ht="14.1" hidden="1" customHeight="1"/>
    <row r="124" ht="14.1" hidden="1" customHeight="1"/>
    <row r="125" ht="14.1" hidden="1" customHeight="1"/>
    <row r="126" ht="14.1" hidden="1" customHeight="1"/>
    <row r="127" ht="14.1" hidden="1" customHeight="1"/>
    <row r="128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1.25" hidden="1" customHeight="1"/>
    <row r="287" ht="11.25" hidden="1" customHeight="1"/>
    <row r="288" ht="11.25" hidden="1" customHeight="1"/>
    <row r="289" ht="11.25" hidden="1" customHeight="1"/>
    <row r="290" ht="11.25" hidden="1" customHeight="1"/>
    <row r="291" ht="11.25" hidden="1" customHeight="1"/>
    <row r="292" ht="11.25" hidden="1" customHeight="1"/>
    <row r="293" ht="11.25" hidden="1" customHeight="1"/>
    <row r="294" ht="11.25" hidden="1" customHeight="1"/>
    <row r="295" ht="11.25" hidden="1" customHeight="1"/>
    <row r="296" ht="11.25" hidden="1" customHeight="1"/>
    <row r="297" ht="11.25" hidden="1" customHeight="1"/>
    <row r="298" ht="11.25" hidden="1" customHeight="1"/>
    <row r="299" ht="11.25" hidden="1" customHeight="1"/>
    <row r="300" ht="11.25" hidden="1" customHeight="1"/>
    <row r="301" ht="11.25" hidden="1" customHeight="1"/>
    <row r="302" ht="11.25" hidden="1" customHeight="1"/>
    <row r="303" ht="11.25" hidden="1" customHeight="1"/>
    <row r="304" ht="11.25" hidden="1" customHeight="1"/>
    <row r="305" ht="11.25" hidden="1" customHeight="1"/>
    <row r="306" ht="11.25" hidden="1" customHeight="1"/>
    <row r="307" ht="11.25" hidden="1" customHeight="1"/>
    <row r="308" ht="11.25" hidden="1" customHeight="1"/>
    <row r="309" ht="11.25" hidden="1" customHeight="1"/>
    <row r="310" ht="11.25" hidden="1" customHeight="1"/>
    <row r="311" ht="11.25" hidden="1" customHeight="1"/>
    <row r="312" ht="11.25" hidden="1" customHeight="1"/>
    <row r="313" ht="11.25" hidden="1" customHeight="1"/>
    <row r="314" ht="11.25" hidden="1" customHeight="1"/>
    <row r="315" ht="11.25" hidden="1" customHeight="1"/>
    <row r="316" ht="11.25" hidden="1" customHeight="1"/>
    <row r="317" ht="11.25" hidden="1" customHeight="1"/>
    <row r="318" ht="11.25" hidden="1" customHeight="1"/>
    <row r="319" ht="11.25" hidden="1" customHeight="1"/>
    <row r="320" ht="11.25" hidden="1" customHeight="1"/>
    <row r="321" ht="11.25" hidden="1" customHeight="1"/>
    <row r="322" ht="11.25" hidden="1" customHeight="1"/>
    <row r="323" ht="11.25" hidden="1" customHeight="1"/>
    <row r="324" ht="11.25" hidden="1" customHeight="1"/>
    <row r="325" ht="11.25" hidden="1" customHeight="1"/>
    <row r="326" ht="11.25" hidden="1" customHeight="1"/>
    <row r="327" ht="11.25" hidden="1" customHeight="1"/>
    <row r="328" ht="11.25" hidden="1" customHeight="1"/>
    <row r="329" ht="11.25" hidden="1" customHeight="1"/>
    <row r="330" ht="11.25" hidden="1" customHeight="1"/>
    <row r="331" ht="11.25" hidden="1" customHeight="1"/>
    <row r="332" ht="11.25" hidden="1" customHeight="1"/>
    <row r="333" ht="11.25" hidden="1" customHeight="1"/>
    <row r="334" ht="11.25" hidden="1" customHeight="1"/>
    <row r="335" ht="11.25" hidden="1" customHeight="1"/>
    <row r="336" ht="11.25" hidden="1" customHeight="1"/>
    <row r="337" ht="11.25" hidden="1" customHeight="1"/>
    <row r="338" ht="11.25" hidden="1" customHeight="1"/>
    <row r="339" ht="11.25" hidden="1" customHeight="1"/>
    <row r="340" ht="11.25" hidden="1" customHeight="1"/>
    <row r="341" ht="11.25" hidden="1" customHeight="1"/>
    <row r="342" ht="11.25" hidden="1" customHeight="1"/>
    <row r="343" ht="11.25" hidden="1" customHeight="1"/>
    <row r="344" ht="11.25" hidden="1" customHeight="1"/>
    <row r="345" ht="11.25" hidden="1" customHeight="1"/>
    <row r="346" ht="11.25" hidden="1" customHeight="1"/>
    <row r="347" ht="11.25" hidden="1" customHeight="1"/>
    <row r="348" ht="11.25" hidden="1" customHeight="1"/>
    <row r="349" ht="11.25" hidden="1" customHeight="1"/>
    <row r="350" ht="11.25" hidden="1" customHeight="1"/>
    <row r="351" ht="11.25" hidden="1" customHeight="1"/>
    <row r="352" ht="11.25" hidden="1" customHeight="1"/>
    <row r="353" ht="11.25" hidden="1" customHeight="1"/>
    <row r="354" ht="11.25" hidden="1" customHeight="1"/>
    <row r="355" ht="11.25" hidden="1" customHeight="1"/>
    <row r="356" ht="11.25" hidden="1" customHeight="1"/>
    <row r="357" ht="11.25" hidden="1" customHeight="1"/>
    <row r="358" ht="11.25" hidden="1" customHeight="1"/>
    <row r="359" ht="11.25" hidden="1" customHeight="1"/>
    <row r="360" ht="11.25" hidden="1" customHeight="1"/>
    <row r="361" ht="11.25" hidden="1" customHeight="1"/>
    <row r="362" ht="11.25" hidden="1" customHeight="1"/>
    <row r="363" ht="11.25" hidden="1" customHeight="1"/>
    <row r="364" ht="11.25" hidden="1" customHeight="1"/>
    <row r="365" ht="11.25" hidden="1" customHeight="1"/>
    <row r="366" ht="11.25" hidden="1" customHeight="1"/>
    <row r="367" ht="11.25" hidden="1" customHeight="1"/>
    <row r="368" ht="11.25" hidden="1" customHeight="1"/>
    <row r="369" ht="11.25" hidden="1" customHeight="1"/>
    <row r="370" ht="11.25" hidden="1" customHeight="1"/>
    <row r="371" ht="11.25" hidden="1" customHeight="1"/>
    <row r="372" ht="11.25" hidden="1" customHeight="1"/>
    <row r="373" ht="11.25" hidden="1" customHeight="1"/>
    <row r="374" ht="11.25" hidden="1" customHeight="1"/>
    <row r="375" ht="11.25" hidden="1" customHeight="1"/>
    <row r="376" ht="11.25" hidden="1" customHeight="1"/>
    <row r="377" ht="11.25" hidden="1" customHeight="1"/>
    <row r="378" ht="11.25" hidden="1" customHeight="1"/>
    <row r="379" ht="11.25" hidden="1" customHeight="1"/>
    <row r="380" ht="11.25" hidden="1" customHeight="1"/>
    <row r="381" ht="11.25" hidden="1" customHeight="1"/>
    <row r="382" ht="11.25" hidden="1" customHeight="1"/>
    <row r="383" ht="11.25" hidden="1" customHeight="1"/>
    <row r="384" ht="11.25" hidden="1" customHeight="1"/>
    <row r="385" ht="11.25" hidden="1" customHeight="1"/>
    <row r="386" ht="11.25" hidden="1" customHeight="1"/>
    <row r="387" ht="11.25" hidden="1" customHeight="1"/>
    <row r="388" ht="11.25" hidden="1" customHeight="1"/>
    <row r="389" ht="11.25" hidden="1" customHeight="1"/>
    <row r="390" ht="11.25" hidden="1" customHeight="1"/>
    <row r="391" ht="11.25" hidden="1" customHeight="1"/>
    <row r="392" ht="11.25" hidden="1" customHeight="1"/>
    <row r="393" ht="11.25" hidden="1" customHeight="1"/>
    <row r="394" ht="11.25" hidden="1" customHeight="1"/>
    <row r="395" ht="11.25" hidden="1" customHeight="1"/>
    <row r="396" ht="11.25" hidden="1" customHeight="1"/>
    <row r="397" ht="11.25" hidden="1" customHeight="1"/>
    <row r="398" ht="11.25" hidden="1" customHeight="1"/>
    <row r="399" ht="11.25" hidden="1" customHeight="1"/>
    <row r="400" ht="11.25" hidden="1" customHeight="1"/>
    <row r="401" ht="11.25" hidden="1" customHeight="1"/>
    <row r="402" ht="11.25" hidden="1" customHeight="1"/>
    <row r="403" ht="11.25" hidden="1" customHeight="1"/>
    <row r="404" ht="11.25" hidden="1" customHeight="1"/>
    <row r="405" ht="11.25" hidden="1" customHeight="1"/>
    <row r="406" ht="11.25" hidden="1" customHeight="1"/>
    <row r="407" ht="11.25" hidden="1" customHeight="1"/>
    <row r="408" ht="11.25" hidden="1" customHeight="1"/>
    <row r="409" ht="11.25" hidden="1" customHeight="1"/>
    <row r="410" ht="11.25" hidden="1" customHeight="1"/>
    <row r="411" ht="11.25" hidden="1" customHeight="1"/>
    <row r="412" ht="11.25" hidden="1" customHeight="1"/>
    <row r="413" ht="11.25" hidden="1" customHeight="1"/>
    <row r="414" ht="11.25" hidden="1" customHeight="1"/>
    <row r="415" ht="11.25" hidden="1" customHeight="1"/>
    <row r="416" ht="11.25" hidden="1" customHeight="1"/>
    <row r="417" ht="11.25" hidden="1" customHeight="1"/>
    <row r="418" ht="11.25" hidden="1" customHeight="1"/>
    <row r="419" ht="11.25" hidden="1" customHeight="1"/>
    <row r="420" ht="11.25" hidden="1" customHeight="1"/>
    <row r="421" ht="11.25" hidden="1" customHeight="1"/>
    <row r="422" ht="11.25" hidden="1" customHeight="1"/>
    <row r="423" ht="11.25" hidden="1" customHeight="1"/>
    <row r="424" ht="11.25" hidden="1" customHeight="1"/>
    <row r="425" ht="11.25" hidden="1" customHeight="1"/>
    <row r="426" ht="11.25" hidden="1" customHeight="1"/>
    <row r="427" ht="11.25" hidden="1" customHeight="1"/>
    <row r="428" ht="11.25" hidden="1" customHeight="1"/>
    <row r="429" ht="11.25" hidden="1" customHeight="1"/>
    <row r="430" ht="11.25" hidden="1" customHeight="1"/>
    <row r="431" ht="11.25" hidden="1" customHeight="1"/>
    <row r="432" ht="11.25" hidden="1" customHeight="1"/>
    <row r="433" ht="11.25" hidden="1" customHeight="1"/>
    <row r="434" ht="11.25" hidden="1" customHeight="1"/>
    <row r="435" ht="11.25" hidden="1" customHeight="1"/>
    <row r="436" ht="11.25" hidden="1" customHeight="1"/>
    <row r="437" ht="11.25" hidden="1" customHeight="1"/>
    <row r="438" ht="11.25" hidden="1" customHeight="1"/>
    <row r="439" ht="11.25" hidden="1" customHeight="1"/>
    <row r="440" ht="11.25" hidden="1" customHeight="1"/>
    <row r="441" ht="11.25" hidden="1" customHeight="1"/>
    <row r="442" ht="11.25" hidden="1" customHeight="1"/>
    <row r="443" ht="11.25" hidden="1" customHeight="1"/>
    <row r="444" ht="11.25" hidden="1" customHeight="1"/>
    <row r="445" ht="11.25" hidden="1" customHeight="1"/>
    <row r="446" ht="11.25" hidden="1" customHeight="1"/>
    <row r="447" ht="11.25" hidden="1" customHeight="1"/>
    <row r="448" ht="11.25" hidden="1" customHeight="1"/>
    <row r="449" ht="11.25" hidden="1" customHeight="1"/>
    <row r="450" ht="11.25" hidden="1" customHeight="1"/>
    <row r="451" ht="11.25" hidden="1" customHeight="1"/>
    <row r="452" ht="11.25" hidden="1" customHeight="1"/>
    <row r="453" ht="11.25" hidden="1" customHeight="1"/>
    <row r="454" ht="11.25" hidden="1" customHeight="1"/>
    <row r="455" ht="11.25" hidden="1" customHeight="1"/>
    <row r="456" ht="11.25" hidden="1" customHeight="1"/>
    <row r="457" ht="11.25" hidden="1" customHeight="1"/>
    <row r="458" ht="11.25" hidden="1" customHeight="1"/>
    <row r="459" ht="11.25" hidden="1" customHeight="1"/>
    <row r="460" ht="11.25" hidden="1" customHeight="1"/>
    <row r="461" ht="11.25" hidden="1" customHeight="1"/>
    <row r="462" ht="11.25" hidden="1" customHeight="1"/>
    <row r="463" ht="11.25" hidden="1" customHeight="1"/>
    <row r="464" ht="11.25" hidden="1" customHeight="1"/>
    <row r="465" ht="11.25" hidden="1" customHeight="1"/>
    <row r="466" ht="11.25" hidden="1" customHeight="1"/>
    <row r="467" ht="11.25" hidden="1" customHeight="1"/>
    <row r="468" ht="11.25" hidden="1" customHeight="1"/>
    <row r="469" ht="11.25" hidden="1" customHeight="1"/>
    <row r="470" ht="11.25" hidden="1" customHeight="1"/>
    <row r="471" ht="11.25" hidden="1" customHeight="1"/>
    <row r="472" ht="11.25" hidden="1" customHeight="1"/>
    <row r="473" ht="11.25" hidden="1" customHeight="1"/>
    <row r="474" ht="11.25" hidden="1" customHeight="1"/>
    <row r="475" ht="11.25" hidden="1" customHeight="1"/>
    <row r="476" ht="11.25" hidden="1" customHeight="1"/>
    <row r="477" ht="11.25" hidden="1" customHeight="1"/>
    <row r="478" ht="11.25" hidden="1" customHeight="1"/>
    <row r="479" ht="11.25" hidden="1" customHeight="1"/>
    <row r="480" ht="11.25" hidden="1" customHeight="1"/>
    <row r="481" ht="11.25" hidden="1" customHeight="1"/>
    <row r="482" ht="11.25" hidden="1" customHeight="1"/>
    <row r="483" ht="11.25" hidden="1" customHeight="1"/>
    <row r="484" ht="11.25" hidden="1" customHeight="1"/>
    <row r="485" ht="11.25" hidden="1" customHeight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</sheetData>
  <sheetProtection password="DDCA" sheet="1" objects="1" scenarios="1"/>
  <phoneticPr fontId="0" type="noConversion"/>
  <conditionalFormatting sqref="A44:P65536">
    <cfRule type="expression" dxfId="388" priority="1" stopIfTrue="1">
      <formula>IF($R$1&gt;0,TRUE,FALSE)</formula>
    </cfRule>
  </conditionalFormatting>
  <conditionalFormatting sqref="B3">
    <cfRule type="expression" dxfId="387" priority="2" stopIfTrue="1">
      <formula>IF($R$1&gt;0,TRUE,FALSE)</formula>
    </cfRule>
  </conditionalFormatting>
  <conditionalFormatting sqref="A1:P2 A3:A4 C3:P4 A5:P43">
    <cfRule type="expression" dxfId="386" priority="3" stopIfTrue="1">
      <formula>IF($Q$1="NO",TRUE,IF($R$1&gt;0,TRUE,FALSE))</formula>
    </cfRule>
  </conditionalFormatting>
  <conditionalFormatting sqref="B4">
    <cfRule type="expression" dxfId="385" priority="4" stopIfTrue="1">
      <formula>IF(Q1="NO",FALSE,IF($R$1&gt;0,TRUE,FALSE))</formula>
    </cfRule>
  </conditionalFormatting>
  <pageMargins left="0.25" right="0.25" top="0.25" bottom="0.25" header="0.5" footer="0.5"/>
  <pageSetup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50"/>
  <sheetViews>
    <sheetView showGridLines="0" showRowColHeaders="0" workbookViewId="0"/>
  </sheetViews>
  <sheetFormatPr defaultColWidth="0" defaultRowHeight="11.25" zeroHeight="1"/>
  <cols>
    <col min="1" max="1" width="2.7109375" style="179" customWidth="1"/>
    <col min="2" max="2" width="9.140625" style="179" customWidth="1"/>
    <col min="3" max="8" width="8.28515625" style="179" customWidth="1"/>
    <col min="9" max="14" width="9.140625" style="179" customWidth="1"/>
    <col min="15" max="15" width="2.140625" style="179" customWidth="1"/>
    <col min="16" max="16" width="4.85546875" style="179" hidden="1" customWidth="1"/>
    <col min="17" max="17" width="5.28515625" style="179" hidden="1" customWidth="1"/>
    <col min="18" max="18" width="4.7109375" style="179" hidden="1" customWidth="1"/>
    <col min="19" max="19" width="14.42578125" style="179" hidden="1" customWidth="1"/>
    <col min="20" max="20" width="0" style="179" hidden="1" customWidth="1"/>
    <col min="21" max="21" width="18" style="179" hidden="1" customWidth="1"/>
    <col min="22" max="16384" width="0" style="179" hidden="1"/>
  </cols>
  <sheetData>
    <row r="1" spans="1:21" ht="14.1" customHeight="1">
      <c r="B1" s="179" t="s">
        <v>118</v>
      </c>
      <c r="S1" s="324">
        <v>0</v>
      </c>
    </row>
    <row r="2" spans="1:21" ht="14.1" customHeight="1">
      <c r="B2" s="179" t="s">
        <v>748</v>
      </c>
      <c r="G2" s="179" t="s">
        <v>35</v>
      </c>
      <c r="I2" s="179" t="s">
        <v>38</v>
      </c>
      <c r="R2" s="179" t="s">
        <v>808</v>
      </c>
      <c r="S2" s="179">
        <v>0</v>
      </c>
    </row>
    <row r="3" spans="1:21" ht="14.1" customHeight="1">
      <c r="B3" s="534" t="s">
        <v>118</v>
      </c>
      <c r="R3" s="179" t="s">
        <v>809</v>
      </c>
      <c r="S3" s="179">
        <v>0</v>
      </c>
    </row>
    <row r="4" spans="1:21" ht="14.1" customHeight="1">
      <c r="A4" s="364"/>
      <c r="B4" s="535" t="s">
        <v>9</v>
      </c>
      <c r="C4" s="374" t="s">
        <v>613</v>
      </c>
      <c r="D4" s="375"/>
      <c r="E4" s="377"/>
      <c r="F4" s="374" t="s">
        <v>737</v>
      </c>
      <c r="G4" s="375"/>
      <c r="H4" s="377"/>
      <c r="I4" s="374" t="s">
        <v>738</v>
      </c>
      <c r="J4" s="375"/>
      <c r="K4" s="377"/>
      <c r="L4" s="374" t="s">
        <v>736</v>
      </c>
      <c r="M4" s="375"/>
      <c r="N4" s="377"/>
      <c r="O4" s="347"/>
      <c r="T4" s="179" t="s">
        <v>252</v>
      </c>
    </row>
    <row r="5" spans="1:21" ht="14.1" customHeight="1">
      <c r="A5" s="364"/>
      <c r="B5" s="536"/>
      <c r="C5" s="378" t="s">
        <v>735</v>
      </c>
      <c r="D5" s="381"/>
      <c r="E5" s="382"/>
      <c r="F5" s="378" t="s">
        <v>735</v>
      </c>
      <c r="G5" s="381"/>
      <c r="H5" s="382"/>
      <c r="I5" s="378" t="s">
        <v>735</v>
      </c>
      <c r="J5" s="381"/>
      <c r="K5" s="382"/>
      <c r="L5" s="378" t="s">
        <v>735</v>
      </c>
      <c r="M5" s="381"/>
      <c r="N5" s="382"/>
      <c r="O5" s="347"/>
    </row>
    <row r="6" spans="1:21" ht="14.1" customHeight="1">
      <c r="A6" s="364"/>
      <c r="B6" s="537"/>
      <c r="C6" s="538" t="s">
        <v>349</v>
      </c>
      <c r="D6" s="538" t="s">
        <v>366</v>
      </c>
      <c r="E6" s="538" t="s">
        <v>750</v>
      </c>
      <c r="F6" s="538" t="s">
        <v>349</v>
      </c>
      <c r="G6" s="538" t="s">
        <v>366</v>
      </c>
      <c r="H6" s="538" t="s">
        <v>750</v>
      </c>
      <c r="I6" s="538" t="s">
        <v>349</v>
      </c>
      <c r="J6" s="538" t="s">
        <v>366</v>
      </c>
      <c r="K6" s="538" t="s">
        <v>750</v>
      </c>
      <c r="L6" s="538" t="s">
        <v>349</v>
      </c>
      <c r="M6" s="538" t="s">
        <v>366</v>
      </c>
      <c r="N6" s="538" t="s">
        <v>750</v>
      </c>
      <c r="O6" s="355"/>
      <c r="S6" s="179" t="s">
        <v>747</v>
      </c>
      <c r="T6" s="179">
        <v>3</v>
      </c>
    </row>
    <row r="7" spans="1:21" ht="14.1" customHeight="1">
      <c r="A7" s="364"/>
      <c r="B7" s="535" t="s">
        <v>906</v>
      </c>
      <c r="C7" s="539">
        <v>0</v>
      </c>
      <c r="D7" s="539" t="s">
        <v>118</v>
      </c>
      <c r="E7" s="539">
        <v>0</v>
      </c>
      <c r="F7" s="539">
        <v>0</v>
      </c>
      <c r="G7" s="539" t="s">
        <v>118</v>
      </c>
      <c r="H7" s="539">
        <v>0</v>
      </c>
      <c r="I7" s="539">
        <v>0</v>
      </c>
      <c r="J7" s="539" t="s">
        <v>118</v>
      </c>
      <c r="K7" s="539">
        <v>0</v>
      </c>
      <c r="L7" s="539">
        <v>0</v>
      </c>
      <c r="M7" s="539" t="s">
        <v>118</v>
      </c>
      <c r="N7" s="539">
        <v>0</v>
      </c>
      <c r="O7" s="355"/>
      <c r="S7" s="179" t="s">
        <v>746</v>
      </c>
      <c r="T7" s="179" t="s">
        <v>252</v>
      </c>
      <c r="U7" s="179" t="s">
        <v>41</v>
      </c>
    </row>
    <row r="8" spans="1:21" ht="14.1" customHeight="1">
      <c r="A8" s="364"/>
      <c r="B8" s="536" t="s">
        <v>914</v>
      </c>
      <c r="C8" s="541">
        <v>0</v>
      </c>
      <c r="D8" s="541">
        <v>0</v>
      </c>
      <c r="E8" s="541" t="s">
        <v>118</v>
      </c>
      <c r="F8" s="541">
        <v>0</v>
      </c>
      <c r="G8" s="541">
        <v>0</v>
      </c>
      <c r="H8" s="541" t="s">
        <v>118</v>
      </c>
      <c r="I8" s="541">
        <v>0</v>
      </c>
      <c r="J8" s="541">
        <v>0</v>
      </c>
      <c r="K8" s="541" t="s">
        <v>118</v>
      </c>
      <c r="L8" s="541">
        <v>0</v>
      </c>
      <c r="M8" s="541">
        <v>0</v>
      </c>
      <c r="N8" s="541" t="s">
        <v>118</v>
      </c>
      <c r="O8" s="355"/>
      <c r="P8" s="324">
        <v>0</v>
      </c>
      <c r="S8" s="179" t="s">
        <v>31</v>
      </c>
      <c r="T8" s="179" t="s">
        <v>3</v>
      </c>
      <c r="U8" s="540">
        <v>1</v>
      </c>
    </row>
    <row r="9" spans="1:21" ht="14.1" customHeight="1">
      <c r="A9" s="364"/>
      <c r="B9" s="536" t="s">
        <v>914</v>
      </c>
      <c r="C9" s="542" t="s">
        <v>118</v>
      </c>
      <c r="D9" s="542">
        <v>0</v>
      </c>
      <c r="E9" s="542">
        <v>0</v>
      </c>
      <c r="F9" s="542" t="s">
        <v>118</v>
      </c>
      <c r="G9" s="542">
        <v>0</v>
      </c>
      <c r="H9" s="542">
        <v>0</v>
      </c>
      <c r="I9" s="541" t="s">
        <v>118</v>
      </c>
      <c r="J9" s="541">
        <v>0</v>
      </c>
      <c r="K9" s="541">
        <v>0</v>
      </c>
      <c r="L9" s="541" t="s">
        <v>118</v>
      </c>
      <c r="M9" s="541">
        <v>0</v>
      </c>
      <c r="N9" s="541">
        <v>0</v>
      </c>
      <c r="O9" s="347"/>
      <c r="S9" s="179" t="s">
        <v>694</v>
      </c>
      <c r="T9" s="179">
        <v>1</v>
      </c>
      <c r="U9" s="540">
        <v>1</v>
      </c>
    </row>
    <row r="10" spans="1:21" ht="14.1" customHeight="1">
      <c r="A10" s="364"/>
      <c r="B10" s="536" t="s">
        <v>914</v>
      </c>
      <c r="C10" s="542">
        <v>0</v>
      </c>
      <c r="D10" s="542" t="s">
        <v>118</v>
      </c>
      <c r="E10" s="542">
        <v>0</v>
      </c>
      <c r="F10" s="542">
        <v>0</v>
      </c>
      <c r="G10" s="542" t="s">
        <v>118</v>
      </c>
      <c r="H10" s="542">
        <v>0</v>
      </c>
      <c r="I10" s="541">
        <v>0</v>
      </c>
      <c r="J10" s="541" t="s">
        <v>118</v>
      </c>
      <c r="K10" s="541">
        <v>0</v>
      </c>
      <c r="L10" s="541">
        <v>0</v>
      </c>
      <c r="M10" s="541" t="s">
        <v>118</v>
      </c>
      <c r="N10" s="541">
        <v>0</v>
      </c>
      <c r="O10" s="347"/>
      <c r="S10" s="179" t="s">
        <v>695</v>
      </c>
      <c r="T10" s="179">
        <v>1</v>
      </c>
      <c r="U10" s="540">
        <v>1</v>
      </c>
    </row>
    <row r="11" spans="1:21" ht="14.1" customHeight="1">
      <c r="A11" s="364"/>
      <c r="B11" s="536" t="s">
        <v>118</v>
      </c>
      <c r="C11" s="541" t="s">
        <v>118</v>
      </c>
      <c r="D11" s="541" t="s">
        <v>118</v>
      </c>
      <c r="E11" s="541" t="s">
        <v>118</v>
      </c>
      <c r="F11" s="541" t="s">
        <v>118</v>
      </c>
      <c r="G11" s="541" t="s">
        <v>118</v>
      </c>
      <c r="H11" s="541" t="s">
        <v>118</v>
      </c>
      <c r="I11" s="541" t="s">
        <v>118</v>
      </c>
      <c r="J11" s="541" t="s">
        <v>118</v>
      </c>
      <c r="K11" s="541" t="s">
        <v>118</v>
      </c>
      <c r="L11" s="541" t="s">
        <v>118</v>
      </c>
      <c r="M11" s="541" t="s">
        <v>118</v>
      </c>
      <c r="N11" s="541" t="s">
        <v>118</v>
      </c>
      <c r="O11" s="347"/>
      <c r="S11" s="179" t="s">
        <v>696</v>
      </c>
      <c r="T11" s="179">
        <v>1</v>
      </c>
      <c r="U11" s="540">
        <v>1</v>
      </c>
    </row>
    <row r="12" spans="1:21" ht="14.1" customHeight="1">
      <c r="A12" s="364"/>
      <c r="B12" s="536" t="s">
        <v>118</v>
      </c>
      <c r="C12" s="542" t="s">
        <v>118</v>
      </c>
      <c r="D12" s="542" t="s">
        <v>118</v>
      </c>
      <c r="E12" s="542" t="s">
        <v>118</v>
      </c>
      <c r="F12" s="542" t="s">
        <v>118</v>
      </c>
      <c r="G12" s="542" t="s">
        <v>118</v>
      </c>
      <c r="H12" s="542" t="s">
        <v>118</v>
      </c>
      <c r="I12" s="541" t="s">
        <v>118</v>
      </c>
      <c r="J12" s="541" t="s">
        <v>118</v>
      </c>
      <c r="K12" s="541" t="s">
        <v>118</v>
      </c>
      <c r="L12" s="541" t="s">
        <v>118</v>
      </c>
      <c r="M12" s="541" t="s">
        <v>118</v>
      </c>
      <c r="N12" s="541" t="s">
        <v>118</v>
      </c>
      <c r="O12" s="347"/>
      <c r="S12" s="179" t="s">
        <v>697</v>
      </c>
      <c r="T12" s="179">
        <v>0</v>
      </c>
      <c r="U12" s="540">
        <v>1</v>
      </c>
    </row>
    <row r="13" spans="1:21" ht="14.1" customHeight="1">
      <c r="A13" s="364"/>
      <c r="B13" s="536" t="s">
        <v>118</v>
      </c>
      <c r="C13" s="542" t="s">
        <v>118</v>
      </c>
      <c r="D13" s="542" t="s">
        <v>118</v>
      </c>
      <c r="E13" s="542" t="s">
        <v>118</v>
      </c>
      <c r="F13" s="542" t="s">
        <v>118</v>
      </c>
      <c r="G13" s="542" t="s">
        <v>118</v>
      </c>
      <c r="H13" s="542" t="s">
        <v>118</v>
      </c>
      <c r="I13" s="541" t="s">
        <v>118</v>
      </c>
      <c r="J13" s="541" t="s">
        <v>118</v>
      </c>
      <c r="K13" s="541" t="s">
        <v>118</v>
      </c>
      <c r="L13" s="541" t="s">
        <v>118</v>
      </c>
      <c r="M13" s="541" t="s">
        <v>118</v>
      </c>
      <c r="N13" s="541" t="s">
        <v>118</v>
      </c>
      <c r="O13" s="347"/>
      <c r="S13" s="179" t="s">
        <v>698</v>
      </c>
      <c r="T13" s="179">
        <v>0</v>
      </c>
      <c r="U13" s="540">
        <v>1</v>
      </c>
    </row>
    <row r="14" spans="1:21" ht="14.1" customHeight="1">
      <c r="A14" s="364"/>
      <c r="B14" s="536" t="s">
        <v>118</v>
      </c>
      <c r="C14" s="541" t="s">
        <v>118</v>
      </c>
      <c r="D14" s="541" t="s">
        <v>118</v>
      </c>
      <c r="E14" s="541" t="s">
        <v>118</v>
      </c>
      <c r="F14" s="541" t="s">
        <v>118</v>
      </c>
      <c r="G14" s="541" t="s">
        <v>118</v>
      </c>
      <c r="H14" s="541" t="s">
        <v>118</v>
      </c>
      <c r="I14" s="541" t="s">
        <v>118</v>
      </c>
      <c r="J14" s="541" t="s">
        <v>118</v>
      </c>
      <c r="K14" s="541" t="s">
        <v>118</v>
      </c>
      <c r="L14" s="541" t="s">
        <v>118</v>
      </c>
      <c r="M14" s="541" t="s">
        <v>118</v>
      </c>
      <c r="N14" s="541" t="s">
        <v>118</v>
      </c>
      <c r="O14" s="347"/>
      <c r="S14" s="179" t="s">
        <v>699</v>
      </c>
      <c r="T14" s="179">
        <v>0</v>
      </c>
      <c r="U14" s="540">
        <v>1</v>
      </c>
    </row>
    <row r="15" spans="1:21" ht="14.1" customHeight="1">
      <c r="A15" s="364"/>
      <c r="B15" s="536" t="s">
        <v>118</v>
      </c>
      <c r="C15" s="542" t="s">
        <v>118</v>
      </c>
      <c r="D15" s="542" t="s">
        <v>118</v>
      </c>
      <c r="E15" s="542" t="s">
        <v>118</v>
      </c>
      <c r="F15" s="542" t="s">
        <v>118</v>
      </c>
      <c r="G15" s="542" t="s">
        <v>118</v>
      </c>
      <c r="H15" s="542" t="s">
        <v>118</v>
      </c>
      <c r="I15" s="541" t="s">
        <v>118</v>
      </c>
      <c r="J15" s="541" t="s">
        <v>118</v>
      </c>
      <c r="K15" s="541" t="s">
        <v>118</v>
      </c>
      <c r="L15" s="541" t="s">
        <v>118</v>
      </c>
      <c r="M15" s="541" t="s">
        <v>118</v>
      </c>
      <c r="N15" s="541" t="s">
        <v>118</v>
      </c>
      <c r="O15" s="347"/>
      <c r="S15" s="179" t="s">
        <v>700</v>
      </c>
      <c r="T15" s="179">
        <v>0</v>
      </c>
      <c r="U15" s="540">
        <v>1</v>
      </c>
    </row>
    <row r="16" spans="1:21" ht="14.1" customHeight="1">
      <c r="A16" s="364"/>
      <c r="B16" s="536" t="s">
        <v>118</v>
      </c>
      <c r="C16" s="542" t="s">
        <v>118</v>
      </c>
      <c r="D16" s="542" t="s">
        <v>118</v>
      </c>
      <c r="E16" s="542" t="s">
        <v>118</v>
      </c>
      <c r="F16" s="542" t="s">
        <v>118</v>
      </c>
      <c r="G16" s="542" t="s">
        <v>118</v>
      </c>
      <c r="H16" s="542" t="s">
        <v>118</v>
      </c>
      <c r="I16" s="541" t="s">
        <v>118</v>
      </c>
      <c r="J16" s="541" t="s">
        <v>118</v>
      </c>
      <c r="K16" s="541" t="s">
        <v>118</v>
      </c>
      <c r="L16" s="541" t="s">
        <v>118</v>
      </c>
      <c r="M16" s="541" t="s">
        <v>118</v>
      </c>
      <c r="N16" s="541" t="s">
        <v>118</v>
      </c>
      <c r="O16" s="347"/>
      <c r="S16" s="179" t="s">
        <v>701</v>
      </c>
      <c r="T16" s="179">
        <v>0</v>
      </c>
      <c r="U16" s="540">
        <v>1</v>
      </c>
    </row>
    <row r="17" spans="1:21" ht="14.1" customHeight="1">
      <c r="A17" s="364"/>
      <c r="B17" s="536" t="s">
        <v>118</v>
      </c>
      <c r="C17" s="541" t="s">
        <v>118</v>
      </c>
      <c r="D17" s="541" t="s">
        <v>118</v>
      </c>
      <c r="E17" s="541" t="s">
        <v>118</v>
      </c>
      <c r="F17" s="541" t="s">
        <v>118</v>
      </c>
      <c r="G17" s="541" t="s">
        <v>118</v>
      </c>
      <c r="H17" s="541" t="s">
        <v>118</v>
      </c>
      <c r="I17" s="541" t="s">
        <v>118</v>
      </c>
      <c r="J17" s="541" t="s">
        <v>118</v>
      </c>
      <c r="K17" s="541" t="s">
        <v>118</v>
      </c>
      <c r="L17" s="541" t="s">
        <v>118</v>
      </c>
      <c r="M17" s="541" t="s">
        <v>118</v>
      </c>
      <c r="N17" s="541" t="s">
        <v>118</v>
      </c>
      <c r="O17" s="347"/>
      <c r="S17" s="179" t="s">
        <v>702</v>
      </c>
      <c r="T17" s="179">
        <v>0</v>
      </c>
      <c r="U17" s="540">
        <v>1</v>
      </c>
    </row>
    <row r="18" spans="1:21" ht="14.1" customHeight="1">
      <c r="A18" s="364"/>
      <c r="B18" s="543" t="s">
        <v>739</v>
      </c>
      <c r="C18" s="544">
        <v>0</v>
      </c>
      <c r="D18" s="544">
        <v>0</v>
      </c>
      <c r="E18" s="544">
        <v>0</v>
      </c>
      <c r="F18" s="544">
        <v>0</v>
      </c>
      <c r="G18" s="544">
        <v>0</v>
      </c>
      <c r="H18" s="544">
        <v>0</v>
      </c>
      <c r="I18" s="544">
        <v>0</v>
      </c>
      <c r="J18" s="544">
        <v>0</v>
      </c>
      <c r="K18" s="544">
        <v>0</v>
      </c>
      <c r="L18" s="544">
        <v>0</v>
      </c>
      <c r="M18" s="544">
        <v>0</v>
      </c>
      <c r="N18" s="544">
        <v>0</v>
      </c>
      <c r="S18" s="179" t="s">
        <v>703</v>
      </c>
      <c r="T18" s="179">
        <v>0</v>
      </c>
      <c r="U18" s="540">
        <v>1</v>
      </c>
    </row>
    <row r="19" spans="1:21" ht="14.1" customHeight="1">
      <c r="A19" s="364"/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</row>
    <row r="20" spans="1:21" ht="14.1" customHeight="1">
      <c r="A20" s="364"/>
      <c r="B20" s="364"/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</row>
    <row r="21" spans="1:21" ht="14.1" customHeight="1">
      <c r="A21" s="364"/>
      <c r="B21" s="535" t="s">
        <v>9</v>
      </c>
      <c r="C21" s="374" t="s">
        <v>740</v>
      </c>
      <c r="D21" s="375"/>
      <c r="E21" s="377"/>
      <c r="F21" s="374" t="s">
        <v>741</v>
      </c>
      <c r="G21" s="375"/>
      <c r="H21" s="377"/>
      <c r="I21" s="374" t="s">
        <v>742</v>
      </c>
      <c r="J21" s="375"/>
      <c r="K21" s="377"/>
      <c r="L21" s="538" t="s">
        <v>743</v>
      </c>
      <c r="M21" s="538" t="s">
        <v>745</v>
      </c>
      <c r="N21" s="538" t="s">
        <v>745</v>
      </c>
    </row>
    <row r="22" spans="1:21" ht="14.1" customHeight="1">
      <c r="A22" s="364"/>
      <c r="B22" s="536"/>
      <c r="C22" s="378" t="s">
        <v>735</v>
      </c>
      <c r="D22" s="381"/>
      <c r="E22" s="382"/>
      <c r="F22" s="378" t="s">
        <v>735</v>
      </c>
      <c r="G22" s="381"/>
      <c r="H22" s="382"/>
      <c r="I22" s="378" t="s">
        <v>735</v>
      </c>
      <c r="J22" s="381"/>
      <c r="K22" s="382"/>
      <c r="L22" s="545" t="s">
        <v>744</v>
      </c>
      <c r="M22" s="545" t="s">
        <v>244</v>
      </c>
      <c r="N22" s="545" t="s">
        <v>244</v>
      </c>
    </row>
    <row r="23" spans="1:21" ht="14.1" customHeight="1">
      <c r="A23" s="364"/>
      <c r="B23" s="537"/>
      <c r="C23" s="538" t="s">
        <v>349</v>
      </c>
      <c r="D23" s="538" t="s">
        <v>366</v>
      </c>
      <c r="E23" s="538" t="s">
        <v>750</v>
      </c>
      <c r="F23" s="538" t="s">
        <v>349</v>
      </c>
      <c r="G23" s="538" t="s">
        <v>366</v>
      </c>
      <c r="H23" s="538" t="s">
        <v>750</v>
      </c>
      <c r="I23" s="538" t="s">
        <v>349</v>
      </c>
      <c r="J23" s="538" t="s">
        <v>366</v>
      </c>
      <c r="K23" s="538" t="s">
        <v>750</v>
      </c>
      <c r="L23" s="546" t="s">
        <v>135</v>
      </c>
      <c r="M23" s="546" t="s">
        <v>735</v>
      </c>
      <c r="N23" s="546" t="s">
        <v>167</v>
      </c>
    </row>
    <row r="24" spans="1:21" ht="14.1" customHeight="1">
      <c r="A24" s="364"/>
      <c r="B24" s="535" t="s">
        <v>906</v>
      </c>
      <c r="C24" s="539">
        <v>0</v>
      </c>
      <c r="D24" s="539" t="s">
        <v>118</v>
      </c>
      <c r="E24" s="539">
        <v>0</v>
      </c>
      <c r="F24" s="539">
        <v>0</v>
      </c>
      <c r="G24" s="539" t="s">
        <v>118</v>
      </c>
      <c r="H24" s="539">
        <v>0</v>
      </c>
      <c r="I24" s="539">
        <v>0</v>
      </c>
      <c r="J24" s="539" t="s">
        <v>118</v>
      </c>
      <c r="K24" s="539">
        <v>0</v>
      </c>
      <c r="L24" s="539">
        <v>0</v>
      </c>
      <c r="M24" s="539">
        <v>0</v>
      </c>
      <c r="N24" s="535">
        <v>0</v>
      </c>
      <c r="R24" s="240" t="s">
        <v>380</v>
      </c>
      <c r="S24" s="179">
        <v>208</v>
      </c>
    </row>
    <row r="25" spans="1:21" ht="14.1" customHeight="1">
      <c r="A25" s="364"/>
      <c r="B25" s="536" t="s">
        <v>914</v>
      </c>
      <c r="C25" s="541">
        <v>0</v>
      </c>
      <c r="D25" s="541">
        <v>0</v>
      </c>
      <c r="E25" s="541" t="s">
        <v>118</v>
      </c>
      <c r="F25" s="541">
        <v>0</v>
      </c>
      <c r="G25" s="541">
        <v>0</v>
      </c>
      <c r="H25" s="541" t="s">
        <v>53</v>
      </c>
      <c r="I25" s="541">
        <v>0</v>
      </c>
      <c r="J25" s="541">
        <v>0</v>
      </c>
      <c r="K25" s="541" t="s">
        <v>53</v>
      </c>
      <c r="L25" s="541">
        <v>0</v>
      </c>
      <c r="M25" s="541">
        <v>0</v>
      </c>
      <c r="N25" s="536">
        <v>0</v>
      </c>
      <c r="R25" s="240" t="s">
        <v>745</v>
      </c>
      <c r="S25" s="240" t="s">
        <v>292</v>
      </c>
    </row>
    <row r="26" spans="1:21" ht="14.1" customHeight="1">
      <c r="A26" s="364"/>
      <c r="B26" s="536" t="s">
        <v>914</v>
      </c>
      <c r="C26" s="541" t="s">
        <v>118</v>
      </c>
      <c r="D26" s="541">
        <v>0</v>
      </c>
      <c r="E26" s="541">
        <v>0</v>
      </c>
      <c r="F26" s="541" t="s">
        <v>118</v>
      </c>
      <c r="G26" s="541">
        <v>0</v>
      </c>
      <c r="H26" s="541">
        <v>0</v>
      </c>
      <c r="I26" s="541" t="s">
        <v>118</v>
      </c>
      <c r="J26" s="541">
        <v>0</v>
      </c>
      <c r="K26" s="541">
        <v>0</v>
      </c>
      <c r="L26" s="541">
        <v>0</v>
      </c>
      <c r="M26" s="541">
        <v>0</v>
      </c>
      <c r="N26" s="536">
        <v>0</v>
      </c>
      <c r="R26" s="240" t="s">
        <v>41</v>
      </c>
      <c r="S26" s="240" t="s">
        <v>252</v>
      </c>
    </row>
    <row r="27" spans="1:21" ht="14.1" customHeight="1">
      <c r="A27" s="364"/>
      <c r="B27" s="536" t="s">
        <v>914</v>
      </c>
      <c r="C27" s="541">
        <v>0</v>
      </c>
      <c r="D27" s="541" t="s">
        <v>118</v>
      </c>
      <c r="E27" s="541">
        <v>0</v>
      </c>
      <c r="F27" s="541">
        <v>0</v>
      </c>
      <c r="G27" s="541" t="s">
        <v>118</v>
      </c>
      <c r="H27" s="541">
        <v>0</v>
      </c>
      <c r="I27" s="541">
        <v>0</v>
      </c>
      <c r="J27" s="541" t="s">
        <v>118</v>
      </c>
      <c r="K27" s="541">
        <v>0</v>
      </c>
      <c r="L27" s="541">
        <v>0</v>
      </c>
      <c r="M27" s="541">
        <v>0</v>
      </c>
      <c r="N27" s="536">
        <v>0</v>
      </c>
      <c r="R27" s="240" t="s">
        <v>817</v>
      </c>
      <c r="S27" s="240" t="s">
        <v>446</v>
      </c>
    </row>
    <row r="28" spans="1:21" ht="14.1" customHeight="1">
      <c r="A28" s="364"/>
      <c r="B28" s="536" t="s">
        <v>118</v>
      </c>
      <c r="C28" s="541" t="s">
        <v>118</v>
      </c>
      <c r="D28" s="541" t="s">
        <v>118</v>
      </c>
      <c r="E28" s="541" t="s">
        <v>118</v>
      </c>
      <c r="F28" s="541" t="s">
        <v>118</v>
      </c>
      <c r="G28" s="541" t="s">
        <v>118</v>
      </c>
      <c r="H28" s="541" t="s">
        <v>118</v>
      </c>
      <c r="I28" s="541" t="s">
        <v>118</v>
      </c>
      <c r="J28" s="541" t="s">
        <v>118</v>
      </c>
      <c r="K28" s="541" t="s">
        <v>118</v>
      </c>
      <c r="L28" s="541" t="s">
        <v>118</v>
      </c>
      <c r="M28" s="541" t="s">
        <v>118</v>
      </c>
      <c r="N28" s="536" t="s">
        <v>118</v>
      </c>
    </row>
    <row r="29" spans="1:21" ht="14.1" customHeight="1">
      <c r="A29" s="364"/>
      <c r="B29" s="536" t="s">
        <v>118</v>
      </c>
      <c r="C29" s="541" t="s">
        <v>118</v>
      </c>
      <c r="D29" s="541" t="s">
        <v>118</v>
      </c>
      <c r="E29" s="541" t="s">
        <v>118</v>
      </c>
      <c r="F29" s="541" t="s">
        <v>118</v>
      </c>
      <c r="G29" s="541" t="s">
        <v>118</v>
      </c>
      <c r="H29" s="541" t="s">
        <v>118</v>
      </c>
      <c r="I29" s="541" t="s">
        <v>118</v>
      </c>
      <c r="J29" s="541" t="s">
        <v>118</v>
      </c>
      <c r="K29" s="541" t="s">
        <v>118</v>
      </c>
      <c r="L29" s="541" t="s">
        <v>118</v>
      </c>
      <c r="M29" s="541" t="s">
        <v>118</v>
      </c>
      <c r="N29" s="536" t="s">
        <v>118</v>
      </c>
    </row>
    <row r="30" spans="1:21" ht="14.1" customHeight="1">
      <c r="A30" s="364"/>
      <c r="B30" s="536" t="s">
        <v>118</v>
      </c>
      <c r="C30" s="541" t="s">
        <v>118</v>
      </c>
      <c r="D30" s="541" t="s">
        <v>118</v>
      </c>
      <c r="E30" s="541" t="s">
        <v>118</v>
      </c>
      <c r="F30" s="541" t="s">
        <v>118</v>
      </c>
      <c r="G30" s="541" t="s">
        <v>118</v>
      </c>
      <c r="H30" s="541" t="s">
        <v>118</v>
      </c>
      <c r="I30" s="541" t="s">
        <v>118</v>
      </c>
      <c r="J30" s="541" t="s">
        <v>118</v>
      </c>
      <c r="K30" s="541" t="s">
        <v>118</v>
      </c>
      <c r="L30" s="541" t="s">
        <v>118</v>
      </c>
      <c r="M30" s="541" t="s">
        <v>118</v>
      </c>
      <c r="N30" s="536" t="s">
        <v>118</v>
      </c>
    </row>
    <row r="31" spans="1:21" ht="14.1" customHeight="1">
      <c r="A31" s="364"/>
      <c r="B31" s="536" t="s">
        <v>118</v>
      </c>
      <c r="C31" s="541" t="s">
        <v>118</v>
      </c>
      <c r="D31" s="541" t="s">
        <v>118</v>
      </c>
      <c r="E31" s="541" t="s">
        <v>118</v>
      </c>
      <c r="F31" s="541" t="s">
        <v>118</v>
      </c>
      <c r="G31" s="541" t="s">
        <v>118</v>
      </c>
      <c r="H31" s="541" t="s">
        <v>118</v>
      </c>
      <c r="I31" s="541" t="s">
        <v>118</v>
      </c>
      <c r="J31" s="541" t="s">
        <v>118</v>
      </c>
      <c r="K31" s="541" t="s">
        <v>118</v>
      </c>
      <c r="L31" s="541" t="s">
        <v>118</v>
      </c>
      <c r="M31" s="541" t="s">
        <v>118</v>
      </c>
      <c r="N31" s="536" t="s">
        <v>118</v>
      </c>
    </row>
    <row r="32" spans="1:21" ht="14.1" customHeight="1">
      <c r="A32" s="364"/>
      <c r="B32" s="536" t="s">
        <v>118</v>
      </c>
      <c r="C32" s="541" t="s">
        <v>118</v>
      </c>
      <c r="D32" s="541" t="s">
        <v>118</v>
      </c>
      <c r="E32" s="541" t="s">
        <v>118</v>
      </c>
      <c r="F32" s="541" t="s">
        <v>118</v>
      </c>
      <c r="G32" s="541" t="s">
        <v>118</v>
      </c>
      <c r="H32" s="541" t="s">
        <v>118</v>
      </c>
      <c r="I32" s="541" t="s">
        <v>118</v>
      </c>
      <c r="J32" s="541" t="s">
        <v>118</v>
      </c>
      <c r="K32" s="541" t="s">
        <v>118</v>
      </c>
      <c r="L32" s="541" t="s">
        <v>118</v>
      </c>
      <c r="M32" s="541" t="s">
        <v>118</v>
      </c>
      <c r="N32" s="536" t="s">
        <v>118</v>
      </c>
    </row>
    <row r="33" spans="1:28" ht="14.1" customHeight="1">
      <c r="A33" s="364"/>
      <c r="B33" s="536" t="s">
        <v>118</v>
      </c>
      <c r="C33" s="541" t="s">
        <v>118</v>
      </c>
      <c r="D33" s="541" t="s">
        <v>118</v>
      </c>
      <c r="E33" s="541" t="s">
        <v>118</v>
      </c>
      <c r="F33" s="541" t="s">
        <v>118</v>
      </c>
      <c r="G33" s="541" t="s">
        <v>118</v>
      </c>
      <c r="H33" s="541" t="s">
        <v>118</v>
      </c>
      <c r="I33" s="541" t="s">
        <v>118</v>
      </c>
      <c r="J33" s="541" t="s">
        <v>118</v>
      </c>
      <c r="K33" s="541" t="s">
        <v>118</v>
      </c>
      <c r="L33" s="541" t="s">
        <v>118</v>
      </c>
      <c r="M33" s="541" t="s">
        <v>118</v>
      </c>
      <c r="N33" s="536" t="s">
        <v>118</v>
      </c>
      <c r="S33" s="179" t="s">
        <v>276</v>
      </c>
      <c r="T33" s="179">
        <v>218</v>
      </c>
    </row>
    <row r="34" spans="1:28" ht="14.1" customHeight="1">
      <c r="A34" s="364"/>
      <c r="B34" s="536" t="s">
        <v>118</v>
      </c>
      <c r="C34" s="541" t="s">
        <v>118</v>
      </c>
      <c r="D34" s="541" t="s">
        <v>118</v>
      </c>
      <c r="E34" s="541" t="s">
        <v>118</v>
      </c>
      <c r="F34" s="541" t="s">
        <v>118</v>
      </c>
      <c r="G34" s="541" t="s">
        <v>118</v>
      </c>
      <c r="H34" s="541" t="s">
        <v>118</v>
      </c>
      <c r="I34" s="541" t="s">
        <v>118</v>
      </c>
      <c r="J34" s="541" t="s">
        <v>118</v>
      </c>
      <c r="K34" s="541" t="s">
        <v>118</v>
      </c>
      <c r="L34" s="541" t="s">
        <v>118</v>
      </c>
      <c r="M34" s="541" t="s">
        <v>118</v>
      </c>
      <c r="N34" s="537" t="s">
        <v>118</v>
      </c>
    </row>
    <row r="35" spans="1:28" ht="14.1" customHeight="1">
      <c r="A35" s="364"/>
      <c r="B35" s="543" t="s">
        <v>739</v>
      </c>
      <c r="C35" s="544">
        <v>0</v>
      </c>
      <c r="D35" s="544">
        <v>0</v>
      </c>
      <c r="E35" s="544">
        <v>0</v>
      </c>
      <c r="F35" s="544">
        <v>0</v>
      </c>
      <c r="G35" s="544">
        <v>0</v>
      </c>
      <c r="H35" s="544">
        <v>0</v>
      </c>
      <c r="I35" s="544">
        <v>0</v>
      </c>
      <c r="J35" s="544">
        <v>0</v>
      </c>
      <c r="K35" s="544">
        <v>0</v>
      </c>
      <c r="L35" s="544">
        <v>0</v>
      </c>
      <c r="M35" s="544">
        <v>0</v>
      </c>
      <c r="N35" s="544">
        <v>0</v>
      </c>
    </row>
    <row r="36" spans="1:28" ht="14.1" customHeight="1">
      <c r="S36" s="179" t="s">
        <v>813</v>
      </c>
      <c r="T36" s="324">
        <v>0</v>
      </c>
      <c r="U36" s="179" t="s">
        <v>815</v>
      </c>
      <c r="V36" s="179">
        <v>218</v>
      </c>
      <c r="W36" s="179" t="s">
        <v>814</v>
      </c>
      <c r="X36" s="179">
        <v>100</v>
      </c>
      <c r="Y36" s="179" t="s">
        <v>165</v>
      </c>
      <c r="Z36" s="179">
        <v>0</v>
      </c>
      <c r="AA36" s="179" t="s">
        <v>793</v>
      </c>
    </row>
    <row r="37" spans="1:28" ht="14.1" customHeight="1">
      <c r="B37" s="337" t="s">
        <v>931</v>
      </c>
      <c r="S37" s="179" t="s">
        <v>813</v>
      </c>
      <c r="T37" s="179" t="s">
        <v>932</v>
      </c>
      <c r="U37" s="179" t="s">
        <v>815</v>
      </c>
      <c r="V37" s="179" t="s">
        <v>933</v>
      </c>
      <c r="W37" s="179" t="s">
        <v>814</v>
      </c>
      <c r="X37" s="179" t="s">
        <v>934</v>
      </c>
      <c r="Y37" s="179" t="s">
        <v>165</v>
      </c>
      <c r="Z37" s="179" t="s">
        <v>932</v>
      </c>
      <c r="AA37" s="179" t="s">
        <v>793</v>
      </c>
      <c r="AB37" s="179" t="s">
        <v>935</v>
      </c>
    </row>
    <row r="38" spans="1:28" ht="14.1" customHeight="1">
      <c r="B38" s="179" t="s">
        <v>936</v>
      </c>
    </row>
    <row r="39" spans="1:28" ht="14.1" customHeight="1">
      <c r="B39" s="179" t="s">
        <v>935</v>
      </c>
    </row>
    <row r="40" spans="1:28" ht="14.1" customHeight="1">
      <c r="B40" s="179" t="s">
        <v>816</v>
      </c>
      <c r="AB40" s="179" t="s">
        <v>816</v>
      </c>
    </row>
    <row r="41" spans="1:28" ht="14.1" customHeight="1">
      <c r="AB41" s="179" t="s">
        <v>816</v>
      </c>
    </row>
    <row r="42" spans="1:28" ht="14.1" customHeight="1">
      <c r="AB42" s="179" t="s">
        <v>818</v>
      </c>
    </row>
    <row r="43" spans="1:28" ht="14.1" customHeight="1">
      <c r="S43" s="179" t="s">
        <v>812</v>
      </c>
    </row>
    <row r="44" spans="1:28" ht="14.1" customHeight="1"/>
    <row r="45" spans="1:28" ht="14.1" customHeight="1"/>
    <row r="46" spans="1:28" ht="14.1" customHeight="1"/>
    <row r="47" spans="1:28" ht="14.1" customHeight="1"/>
    <row r="48" spans="1:28" ht="14.1" customHeight="1"/>
    <row r="49" ht="14.1" customHeight="1"/>
    <row r="50" ht="14.1" customHeight="1"/>
  </sheetData>
  <sheetProtection password="DDCA" sheet="1" objects="1" scenarios="1"/>
  <phoneticPr fontId="0" type="noConversion"/>
  <conditionalFormatting sqref="A1:A163 B4:B163 B2 O1:O163 C1:L163 M1:N20 M36:N163">
    <cfRule type="expression" dxfId="384" priority="1" stopIfTrue="1">
      <formula>IF($S$1&gt;0,TRUE,FALSE)</formula>
    </cfRule>
  </conditionalFormatting>
  <conditionalFormatting sqref="B1 B3">
    <cfRule type="expression" dxfId="383" priority="2" stopIfTrue="1">
      <formula>IF($S$1&gt;0,TRUE,FALSE)</formula>
    </cfRule>
  </conditionalFormatting>
  <conditionalFormatting sqref="N21:N35">
    <cfRule type="expression" dxfId="382" priority="3" stopIfTrue="1">
      <formula>IF($S$1&gt;0,TRUE,FALSE)</formula>
    </cfRule>
    <cfRule type="expression" dxfId="381" priority="4" stopIfTrue="1">
      <formula>IF(S$26=1,TRUE,FALSE)</formula>
    </cfRule>
  </conditionalFormatting>
  <conditionalFormatting sqref="M21:M35">
    <cfRule type="expression" dxfId="380" priority="5" stopIfTrue="1">
      <formula>IF($S$1&gt;0,TRUE,FALSE)</formula>
    </cfRule>
    <cfRule type="expression" dxfId="379" priority="6" stopIfTrue="1">
      <formula>IF(S$26=1,TRUE,FALSE)</formula>
    </cfRule>
  </conditionalFormatting>
  <pageMargins left="0.5" right="0.5" top="0.5" bottom="0.5" header="0.5" footer="0.5"/>
  <pageSetup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D102"/>
  <sheetViews>
    <sheetView topLeftCell="A39" workbookViewId="0">
      <selection activeCell="H57" sqref="H57"/>
    </sheetView>
  </sheetViews>
  <sheetFormatPr defaultRowHeight="11.25"/>
  <cols>
    <col min="1" max="1" width="13.85546875" style="1" customWidth="1"/>
    <col min="2" max="2" width="9.140625" style="1"/>
    <col min="3" max="3" width="18.5703125" style="1" customWidth="1"/>
    <col min="4" max="6" width="9.140625" style="1"/>
    <col min="7" max="7" width="13.140625" style="12" customWidth="1"/>
    <col min="8" max="8" width="11.7109375" style="1" customWidth="1"/>
    <col min="9" max="16" width="9.140625" style="1"/>
    <col min="17" max="17" width="40.85546875" style="1" customWidth="1"/>
    <col min="18" max="18" width="34.7109375" style="1" customWidth="1"/>
    <col min="19" max="19" width="29.140625" style="1" customWidth="1"/>
    <col min="20" max="20" width="23.7109375" style="1" customWidth="1"/>
    <col min="21" max="32" width="9.140625" style="1"/>
    <col min="33" max="33" width="16.7109375" style="1" customWidth="1"/>
    <col min="34" max="16384" width="9.140625" style="1"/>
  </cols>
  <sheetData>
    <row r="1" spans="1:56">
      <c r="E1" s="1" t="s">
        <v>71</v>
      </c>
      <c r="F1" s="1" t="s">
        <v>71</v>
      </c>
      <c r="G1" s="12" t="s">
        <v>71</v>
      </c>
      <c r="H1" s="1" t="s">
        <v>671</v>
      </c>
      <c r="I1" s="1" t="s">
        <v>111</v>
      </c>
      <c r="J1" s="1" t="s">
        <v>112</v>
      </c>
      <c r="K1" s="1" t="s">
        <v>114</v>
      </c>
      <c r="L1" s="1" t="s">
        <v>115</v>
      </c>
      <c r="M1" s="1" t="s">
        <v>116</v>
      </c>
      <c r="N1" s="1" t="s">
        <v>117</v>
      </c>
      <c r="O1" s="1" t="s">
        <v>55</v>
      </c>
      <c r="P1" s="1" t="s">
        <v>123</v>
      </c>
      <c r="Q1" s="1" t="s">
        <v>119</v>
      </c>
      <c r="R1" s="1" t="s">
        <v>121</v>
      </c>
      <c r="S1" s="1" t="s">
        <v>122</v>
      </c>
      <c r="T1" s="1" t="s">
        <v>123</v>
      </c>
      <c r="U1" s="1" t="s">
        <v>124</v>
      </c>
      <c r="V1" s="1" t="s">
        <v>125</v>
      </c>
      <c r="W1" s="1" t="s">
        <v>126</v>
      </c>
      <c r="X1" s="1" t="s">
        <v>127</v>
      </c>
      <c r="Y1" s="1" t="s">
        <v>127</v>
      </c>
      <c r="Z1" s="1" t="s">
        <v>199</v>
      </c>
      <c r="AA1" s="12" t="s">
        <v>133</v>
      </c>
      <c r="AB1" s="12" t="s">
        <v>133</v>
      </c>
      <c r="AC1" s="12" t="s">
        <v>133</v>
      </c>
      <c r="AD1" s="12" t="s">
        <v>133</v>
      </c>
      <c r="AE1" s="12" t="s">
        <v>133</v>
      </c>
      <c r="AF1" s="12" t="s">
        <v>133</v>
      </c>
      <c r="AG1" s="1" t="s">
        <v>166</v>
      </c>
      <c r="AH1" s="1" t="s">
        <v>134</v>
      </c>
      <c r="AI1" s="1" t="s">
        <v>166</v>
      </c>
      <c r="AK1" s="1" t="s">
        <v>175</v>
      </c>
      <c r="AL1" s="1" t="s">
        <v>176</v>
      </c>
      <c r="AM1" s="1" t="s">
        <v>175</v>
      </c>
      <c r="AN1" s="1" t="s">
        <v>176</v>
      </c>
      <c r="AO1" s="1" t="s">
        <v>126</v>
      </c>
      <c r="AP1" s="1" t="s">
        <v>127</v>
      </c>
    </row>
    <row r="2" spans="1:56">
      <c r="A2" s="1" t="s">
        <v>68</v>
      </c>
      <c r="B2" s="1">
        <v>6</v>
      </c>
      <c r="E2" s="1" t="s">
        <v>72</v>
      </c>
      <c r="F2" s="1" t="s">
        <v>41</v>
      </c>
      <c r="G2" s="12" t="s">
        <v>107</v>
      </c>
      <c r="H2" s="1" t="s">
        <v>672</v>
      </c>
      <c r="J2" s="1" t="s">
        <v>113</v>
      </c>
      <c r="P2" s="1" t="s">
        <v>128</v>
      </c>
      <c r="Q2" s="1" t="s">
        <v>120</v>
      </c>
      <c r="R2" s="1" t="s">
        <v>32</v>
      </c>
      <c r="S2" s="1" t="s">
        <v>32</v>
      </c>
      <c r="T2" s="1" t="s">
        <v>128</v>
      </c>
      <c r="U2" s="1" t="s">
        <v>129</v>
      </c>
      <c r="V2" s="1" t="s">
        <v>128</v>
      </c>
      <c r="W2" s="1" t="s">
        <v>129</v>
      </c>
      <c r="X2" s="1" t="s">
        <v>130</v>
      </c>
      <c r="Y2" s="1" t="s">
        <v>130</v>
      </c>
      <c r="Z2" s="1" t="s">
        <v>124</v>
      </c>
      <c r="AA2" s="12">
        <v>1</v>
      </c>
      <c r="AB2" s="12">
        <v>2</v>
      </c>
      <c r="AC2" s="12">
        <v>3</v>
      </c>
      <c r="AD2" s="12">
        <v>4</v>
      </c>
      <c r="AE2" s="12">
        <v>5</v>
      </c>
      <c r="AF2" s="12">
        <v>6</v>
      </c>
      <c r="AH2" s="1" t="s">
        <v>135</v>
      </c>
      <c r="AI2" s="1" t="s">
        <v>167</v>
      </c>
      <c r="AK2" s="1" t="s">
        <v>3</v>
      </c>
      <c r="AL2" s="1" t="s">
        <v>3</v>
      </c>
      <c r="AM2" s="1" t="s">
        <v>177</v>
      </c>
      <c r="AN2" s="1" t="s">
        <v>177</v>
      </c>
      <c r="AO2" s="1" t="s">
        <v>199</v>
      </c>
      <c r="AP2" s="1" t="s">
        <v>130</v>
      </c>
    </row>
    <row r="3" spans="1:56">
      <c r="G3" s="12" t="s">
        <v>108</v>
      </c>
      <c r="P3" s="1" t="s">
        <v>673</v>
      </c>
      <c r="T3" s="1" t="s">
        <v>131</v>
      </c>
      <c r="V3" s="1" t="s">
        <v>132</v>
      </c>
      <c r="X3" s="1" t="s">
        <v>123</v>
      </c>
      <c r="Y3" s="1" t="s">
        <v>129</v>
      </c>
      <c r="Z3" s="1" t="s">
        <v>200</v>
      </c>
      <c r="AI3" s="1" t="s">
        <v>168</v>
      </c>
      <c r="AO3" s="1" t="s">
        <v>129</v>
      </c>
      <c r="AP3" s="1" t="s">
        <v>129</v>
      </c>
    </row>
    <row r="4" spans="1:56">
      <c r="C4" s="1" t="s">
        <v>64</v>
      </c>
      <c r="D4" s="1" t="s">
        <v>4</v>
      </c>
      <c r="E4" s="9">
        <v>0</v>
      </c>
      <c r="AI4" s="1" t="s">
        <v>71</v>
      </c>
      <c r="BC4" s="1" t="s">
        <v>314</v>
      </c>
      <c r="BD4" s="1" t="s">
        <v>167</v>
      </c>
    </row>
    <row r="5" spans="1:56">
      <c r="C5" s="1" t="s">
        <v>65</v>
      </c>
      <c r="I5" s="19"/>
      <c r="BC5" s="1" t="s">
        <v>386</v>
      </c>
    </row>
    <row r="7" spans="1:56">
      <c r="B7" s="1">
        <v>1</v>
      </c>
      <c r="C7" s="1">
        <v>1</v>
      </c>
      <c r="D7" s="19">
        <v>0</v>
      </c>
      <c r="E7" s="15" t="s">
        <v>819</v>
      </c>
      <c r="F7" s="16">
        <v>1</v>
      </c>
      <c r="G7" s="13" t="s">
        <v>820</v>
      </c>
      <c r="H7" s="13">
        <v>4699</v>
      </c>
      <c r="I7" s="17" t="s">
        <v>821</v>
      </c>
      <c r="J7" s="4" t="s">
        <v>822</v>
      </c>
      <c r="K7" s="7" t="s">
        <v>823</v>
      </c>
      <c r="L7" s="4" t="s">
        <v>824</v>
      </c>
      <c r="M7" s="4" t="s">
        <v>53</v>
      </c>
      <c r="N7" s="4" t="s">
        <v>53</v>
      </c>
      <c r="O7" s="4" t="s">
        <v>825</v>
      </c>
      <c r="P7" s="405">
        <v>1</v>
      </c>
      <c r="Q7" s="7">
        <v>1500</v>
      </c>
      <c r="R7" s="4">
        <v>2</v>
      </c>
      <c r="S7" s="7">
        <v>1</v>
      </c>
      <c r="T7" s="7">
        <v>1</v>
      </c>
      <c r="U7" s="4">
        <v>8</v>
      </c>
      <c r="V7" s="7">
        <v>1</v>
      </c>
      <c r="W7" s="4">
        <v>5</v>
      </c>
      <c r="X7" s="7">
        <v>1</v>
      </c>
      <c r="Y7" s="4">
        <v>2.5</v>
      </c>
      <c r="Z7" s="1">
        <v>8</v>
      </c>
      <c r="AA7" s="15">
        <v>4000</v>
      </c>
      <c r="AB7" s="4"/>
      <c r="AC7" s="4"/>
      <c r="AD7" s="4"/>
      <c r="AE7" s="4"/>
      <c r="AF7" s="4"/>
      <c r="AG7" s="1">
        <v>4000</v>
      </c>
      <c r="AH7" s="4">
        <v>1200</v>
      </c>
      <c r="AI7" s="4">
        <v>0</v>
      </c>
      <c r="AK7" s="4">
        <v>0</v>
      </c>
      <c r="AL7" s="4">
        <v>0</v>
      </c>
      <c r="AM7" s="4">
        <v>0</v>
      </c>
      <c r="AN7" s="4">
        <v>0</v>
      </c>
      <c r="AO7" s="1">
        <v>5</v>
      </c>
      <c r="AP7" s="1">
        <v>2.5</v>
      </c>
      <c r="AR7" s="1">
        <v>1200</v>
      </c>
      <c r="AV7" s="19"/>
      <c r="AW7" s="406">
        <v>1</v>
      </c>
      <c r="AX7" s="1" t="s">
        <v>53</v>
      </c>
      <c r="AY7" s="19" t="s">
        <v>821</v>
      </c>
      <c r="AZ7" s="406" t="s">
        <v>542</v>
      </c>
      <c r="BA7" s="1" t="s">
        <v>826</v>
      </c>
      <c r="BC7" s="15">
        <v>0.253</v>
      </c>
      <c r="BD7" s="4">
        <v>98</v>
      </c>
    </row>
    <row r="8" spans="1:56">
      <c r="B8" s="1">
        <v>1</v>
      </c>
      <c r="C8" s="1">
        <v>2</v>
      </c>
      <c r="D8" s="1">
        <v>0</v>
      </c>
      <c r="E8" s="4" t="s">
        <v>819</v>
      </c>
      <c r="F8" s="4">
        <v>1</v>
      </c>
      <c r="G8" s="13" t="s">
        <v>820</v>
      </c>
      <c r="H8" s="13">
        <v>4699</v>
      </c>
      <c r="I8" s="13" t="s">
        <v>821</v>
      </c>
      <c r="J8" s="4" t="s">
        <v>822</v>
      </c>
      <c r="K8" s="4" t="s">
        <v>823</v>
      </c>
      <c r="L8" s="4" t="s">
        <v>824</v>
      </c>
      <c r="M8" s="4" t="s">
        <v>53</v>
      </c>
      <c r="N8" s="4" t="s">
        <v>53</v>
      </c>
      <c r="O8" s="4" t="s">
        <v>825</v>
      </c>
      <c r="P8" s="405">
        <v>1</v>
      </c>
      <c r="Q8" s="4">
        <v>1500</v>
      </c>
      <c r="R8" s="4">
        <v>2</v>
      </c>
      <c r="S8" s="4">
        <v>1</v>
      </c>
      <c r="T8" s="4">
        <v>1</v>
      </c>
      <c r="U8" s="4">
        <v>8</v>
      </c>
      <c r="V8" s="4">
        <v>1</v>
      </c>
      <c r="W8" s="4">
        <v>5</v>
      </c>
      <c r="X8" s="4">
        <v>1</v>
      </c>
      <c r="Y8" s="4">
        <v>2.5</v>
      </c>
      <c r="Z8" s="1">
        <v>8</v>
      </c>
      <c r="AA8" s="15">
        <v>4000</v>
      </c>
      <c r="AB8" s="4"/>
      <c r="AC8" s="4"/>
      <c r="AD8" s="4"/>
      <c r="AE8" s="4"/>
      <c r="AF8" s="4"/>
      <c r="AG8" s="1">
        <v>4000</v>
      </c>
      <c r="AH8" s="4">
        <v>1200</v>
      </c>
      <c r="AK8" s="4">
        <v>0</v>
      </c>
      <c r="AL8" s="4">
        <v>0</v>
      </c>
      <c r="AM8" s="4">
        <v>0</v>
      </c>
      <c r="AN8" s="4">
        <v>0</v>
      </c>
      <c r="AO8" s="1">
        <v>5</v>
      </c>
      <c r="AP8" s="1">
        <v>2.5</v>
      </c>
      <c r="AS8" s="1">
        <v>1200</v>
      </c>
      <c r="AW8" s="406">
        <v>2</v>
      </c>
      <c r="AX8" s="1" t="s">
        <v>53</v>
      </c>
      <c r="AY8" s="19" t="s">
        <v>821</v>
      </c>
      <c r="AZ8" s="406" t="s">
        <v>542</v>
      </c>
      <c r="BA8" s="1" t="s">
        <v>826</v>
      </c>
      <c r="BC8" s="15">
        <v>0.253</v>
      </c>
      <c r="BD8" s="4">
        <v>98</v>
      </c>
    </row>
    <row r="9" spans="1:56">
      <c r="B9" s="1">
        <v>1</v>
      </c>
      <c r="C9" s="1">
        <v>3</v>
      </c>
      <c r="D9" s="1">
        <v>0</v>
      </c>
      <c r="E9" s="4" t="s">
        <v>819</v>
      </c>
      <c r="F9" s="4">
        <v>1</v>
      </c>
      <c r="G9" s="13" t="s">
        <v>820</v>
      </c>
      <c r="H9" s="13">
        <v>4699</v>
      </c>
      <c r="I9" s="13" t="s">
        <v>821</v>
      </c>
      <c r="J9" s="4" t="s">
        <v>822</v>
      </c>
      <c r="K9" s="4" t="s">
        <v>823</v>
      </c>
      <c r="L9" s="4" t="s">
        <v>824</v>
      </c>
      <c r="M9" s="4" t="s">
        <v>53</v>
      </c>
      <c r="N9" s="4" t="s">
        <v>53</v>
      </c>
      <c r="O9" s="4" t="s">
        <v>825</v>
      </c>
      <c r="P9" s="405">
        <v>1</v>
      </c>
      <c r="Q9" s="4">
        <v>1500</v>
      </c>
      <c r="R9" s="4">
        <v>2</v>
      </c>
      <c r="S9" s="4">
        <v>1</v>
      </c>
      <c r="T9" s="4">
        <v>1</v>
      </c>
      <c r="U9" s="4">
        <v>8</v>
      </c>
      <c r="V9" s="4">
        <v>1</v>
      </c>
      <c r="W9" s="4">
        <v>5</v>
      </c>
      <c r="X9" s="4">
        <v>1</v>
      </c>
      <c r="Y9" s="4">
        <v>2.5</v>
      </c>
      <c r="Z9" s="1">
        <v>8</v>
      </c>
      <c r="AA9" s="15">
        <v>4000</v>
      </c>
      <c r="AB9" s="4"/>
      <c r="AC9" s="4"/>
      <c r="AD9" s="4"/>
      <c r="AE9" s="4"/>
      <c r="AF9" s="4"/>
      <c r="AG9" s="1">
        <v>4000</v>
      </c>
      <c r="AH9" s="4">
        <v>1200</v>
      </c>
      <c r="AK9" s="4">
        <v>0</v>
      </c>
      <c r="AL9" s="4">
        <v>0</v>
      </c>
      <c r="AM9" s="4">
        <v>0</v>
      </c>
      <c r="AN9" s="4">
        <v>0</v>
      </c>
      <c r="AO9" s="1">
        <v>5</v>
      </c>
      <c r="AP9" s="1">
        <v>2.5</v>
      </c>
      <c r="AT9" s="1">
        <v>1200</v>
      </c>
      <c r="AW9" s="406">
        <v>3</v>
      </c>
      <c r="AX9" s="1" t="s">
        <v>53</v>
      </c>
      <c r="AY9" s="19" t="s">
        <v>821</v>
      </c>
      <c r="AZ9" s="406" t="s">
        <v>542</v>
      </c>
      <c r="BA9" s="1" t="s">
        <v>826</v>
      </c>
      <c r="BC9" s="15">
        <v>0.253</v>
      </c>
      <c r="BD9" s="4">
        <v>98</v>
      </c>
    </row>
    <row r="10" spans="1:56">
      <c r="B10" s="1">
        <v>1</v>
      </c>
      <c r="C10" s="1">
        <v>4</v>
      </c>
      <c r="D10" s="1">
        <v>0</v>
      </c>
      <c r="E10" s="4" t="s">
        <v>819</v>
      </c>
      <c r="F10" s="4">
        <v>1</v>
      </c>
      <c r="G10" s="13" t="s">
        <v>820</v>
      </c>
      <c r="H10" s="13">
        <v>4699</v>
      </c>
      <c r="I10" s="13" t="s">
        <v>821</v>
      </c>
      <c r="J10" s="4" t="s">
        <v>822</v>
      </c>
      <c r="K10" s="4" t="s">
        <v>823</v>
      </c>
      <c r="L10" s="4" t="s">
        <v>824</v>
      </c>
      <c r="M10" s="4" t="s">
        <v>53</v>
      </c>
      <c r="N10" s="4" t="s">
        <v>53</v>
      </c>
      <c r="O10" s="4" t="s">
        <v>825</v>
      </c>
      <c r="P10" s="405">
        <v>1</v>
      </c>
      <c r="Q10" s="4">
        <v>1500</v>
      </c>
      <c r="R10" s="4">
        <v>2</v>
      </c>
      <c r="S10" s="4">
        <v>1</v>
      </c>
      <c r="T10" s="4">
        <v>1</v>
      </c>
      <c r="U10" s="4">
        <v>8</v>
      </c>
      <c r="V10" s="4">
        <v>1</v>
      </c>
      <c r="W10" s="4">
        <v>5</v>
      </c>
      <c r="X10" s="4">
        <v>1</v>
      </c>
      <c r="Y10" s="4">
        <v>2.5</v>
      </c>
      <c r="Z10" s="1">
        <v>8</v>
      </c>
      <c r="AA10" s="15">
        <v>4000</v>
      </c>
      <c r="AB10" s="4"/>
      <c r="AC10" s="4"/>
      <c r="AD10" s="4"/>
      <c r="AE10" s="4"/>
      <c r="AF10" s="4"/>
      <c r="AG10" s="1">
        <v>4000</v>
      </c>
      <c r="AH10" s="4">
        <v>1200</v>
      </c>
      <c r="AK10" s="4">
        <v>0</v>
      </c>
      <c r="AL10" s="4">
        <v>0</v>
      </c>
      <c r="AM10" s="4">
        <v>0</v>
      </c>
      <c r="AN10" s="4">
        <v>0</v>
      </c>
      <c r="AO10" s="1">
        <v>5</v>
      </c>
      <c r="AP10" s="1">
        <v>2.5</v>
      </c>
      <c r="AR10" s="1">
        <v>1200</v>
      </c>
      <c r="AW10" s="406">
        <v>4</v>
      </c>
      <c r="AX10" s="1" t="s">
        <v>53</v>
      </c>
      <c r="AY10" s="19" t="s">
        <v>821</v>
      </c>
      <c r="AZ10" s="406" t="s">
        <v>542</v>
      </c>
      <c r="BA10" s="1" t="s">
        <v>826</v>
      </c>
      <c r="BC10" s="15">
        <v>0.253</v>
      </c>
      <c r="BD10" s="4">
        <v>98</v>
      </c>
    </row>
    <row r="11" spans="1:56">
      <c r="B11" s="1">
        <v>1</v>
      </c>
      <c r="C11" s="1">
        <v>5</v>
      </c>
      <c r="D11" s="1">
        <v>0</v>
      </c>
      <c r="E11" s="4" t="s">
        <v>819</v>
      </c>
      <c r="F11" s="4">
        <v>1</v>
      </c>
      <c r="G11" s="13" t="s">
        <v>820</v>
      </c>
      <c r="H11" s="13">
        <v>4699</v>
      </c>
      <c r="I11" s="13" t="s">
        <v>821</v>
      </c>
      <c r="J11" s="4" t="s">
        <v>822</v>
      </c>
      <c r="K11" s="4" t="s">
        <v>823</v>
      </c>
      <c r="L11" s="4" t="s">
        <v>824</v>
      </c>
      <c r="M11" s="4" t="s">
        <v>53</v>
      </c>
      <c r="N11" s="4" t="s">
        <v>53</v>
      </c>
      <c r="O11" s="4" t="s">
        <v>825</v>
      </c>
      <c r="P11" s="405">
        <v>1</v>
      </c>
      <c r="Q11" s="4">
        <v>1500</v>
      </c>
      <c r="R11" s="4">
        <v>2</v>
      </c>
      <c r="S11" s="4">
        <v>1</v>
      </c>
      <c r="T11" s="4">
        <v>1</v>
      </c>
      <c r="U11" s="4">
        <v>8</v>
      </c>
      <c r="V11" s="4">
        <v>1</v>
      </c>
      <c r="W11" s="4">
        <v>5</v>
      </c>
      <c r="X11" s="4">
        <v>1</v>
      </c>
      <c r="Y11" s="4">
        <v>2.5</v>
      </c>
      <c r="Z11" s="1">
        <v>8</v>
      </c>
      <c r="AA11" s="15">
        <v>4000</v>
      </c>
      <c r="AB11" s="4"/>
      <c r="AC11" s="4"/>
      <c r="AD11" s="4"/>
      <c r="AE11" s="4"/>
      <c r="AF11" s="4"/>
      <c r="AG11" s="1">
        <v>4000</v>
      </c>
      <c r="AH11" s="4">
        <v>1200</v>
      </c>
      <c r="AK11" s="4">
        <v>0</v>
      </c>
      <c r="AL11" s="4">
        <v>0</v>
      </c>
      <c r="AM11" s="4">
        <v>0</v>
      </c>
      <c r="AN11" s="4">
        <v>0</v>
      </c>
      <c r="AO11" s="1">
        <v>5</v>
      </c>
      <c r="AP11" s="1">
        <v>2.5</v>
      </c>
      <c r="AS11" s="1">
        <v>1200</v>
      </c>
      <c r="AW11" s="406">
        <v>5</v>
      </c>
      <c r="AX11" s="1" t="s">
        <v>53</v>
      </c>
      <c r="AY11" s="19" t="s">
        <v>821</v>
      </c>
      <c r="AZ11" s="406" t="s">
        <v>542</v>
      </c>
      <c r="BA11" s="1" t="s">
        <v>826</v>
      </c>
      <c r="BC11" s="15">
        <v>0.253</v>
      </c>
      <c r="BD11" s="4">
        <v>98</v>
      </c>
    </row>
    <row r="12" spans="1:56">
      <c r="B12" s="1">
        <v>1</v>
      </c>
      <c r="C12" s="1">
        <v>6</v>
      </c>
      <c r="D12" s="1">
        <v>0</v>
      </c>
      <c r="E12" s="4" t="s">
        <v>819</v>
      </c>
      <c r="F12" s="4">
        <v>1</v>
      </c>
      <c r="G12" s="13" t="s">
        <v>820</v>
      </c>
      <c r="H12" s="13">
        <v>4699</v>
      </c>
      <c r="I12" s="13" t="s">
        <v>821</v>
      </c>
      <c r="J12" s="4" t="s">
        <v>822</v>
      </c>
      <c r="K12" s="4" t="s">
        <v>823</v>
      </c>
      <c r="L12" s="4" t="s">
        <v>824</v>
      </c>
      <c r="M12" s="4" t="s">
        <v>53</v>
      </c>
      <c r="N12" s="4" t="s">
        <v>53</v>
      </c>
      <c r="O12" s="4" t="s">
        <v>825</v>
      </c>
      <c r="P12" s="405">
        <v>1</v>
      </c>
      <c r="Q12" s="4">
        <v>1500</v>
      </c>
      <c r="R12" s="4">
        <v>2</v>
      </c>
      <c r="S12" s="4">
        <v>1</v>
      </c>
      <c r="T12" s="4">
        <v>1</v>
      </c>
      <c r="U12" s="4">
        <v>8</v>
      </c>
      <c r="V12" s="4">
        <v>1</v>
      </c>
      <c r="W12" s="4">
        <v>5</v>
      </c>
      <c r="X12" s="4">
        <v>1</v>
      </c>
      <c r="Y12" s="4">
        <v>2.5</v>
      </c>
      <c r="Z12" s="1">
        <v>8</v>
      </c>
      <c r="AA12" s="15">
        <v>4000</v>
      </c>
      <c r="AB12" s="4"/>
      <c r="AC12" s="4"/>
      <c r="AD12" s="4"/>
      <c r="AE12" s="4"/>
      <c r="AF12" s="4"/>
      <c r="AG12" s="1">
        <v>4000</v>
      </c>
      <c r="AH12" s="4">
        <v>1200</v>
      </c>
      <c r="AK12" s="4">
        <v>0</v>
      </c>
      <c r="AL12" s="4">
        <v>0</v>
      </c>
      <c r="AM12" s="4">
        <v>0</v>
      </c>
      <c r="AN12" s="4">
        <v>0</v>
      </c>
      <c r="AO12" s="1">
        <v>5</v>
      </c>
      <c r="AP12" s="1">
        <v>2.5</v>
      </c>
      <c r="AT12" s="1">
        <v>1200</v>
      </c>
      <c r="AW12" s="406">
        <v>6</v>
      </c>
      <c r="AX12" s="1" t="s">
        <v>53</v>
      </c>
      <c r="AY12" s="19" t="s">
        <v>821</v>
      </c>
      <c r="AZ12" s="406" t="s">
        <v>542</v>
      </c>
      <c r="BA12" s="1" t="s">
        <v>826</v>
      </c>
      <c r="BC12" s="15">
        <v>0.253</v>
      </c>
      <c r="BD12" s="4">
        <v>98</v>
      </c>
    </row>
    <row r="13" spans="1:56">
      <c r="B13" s="1">
        <v>0</v>
      </c>
      <c r="C13" s="1">
        <v>7</v>
      </c>
      <c r="D13" s="1" t="s">
        <v>53</v>
      </c>
      <c r="E13" s="4" t="s">
        <v>53</v>
      </c>
      <c r="F13" s="4" t="s">
        <v>53</v>
      </c>
      <c r="G13" s="13" t="s">
        <v>53</v>
      </c>
      <c r="H13" s="13" t="s">
        <v>53</v>
      </c>
      <c r="I13" s="13" t="s">
        <v>53</v>
      </c>
      <c r="J13" s="4" t="s">
        <v>53</v>
      </c>
      <c r="K13" s="4" t="s">
        <v>53</v>
      </c>
      <c r="L13" s="4" t="s">
        <v>53</v>
      </c>
      <c r="M13" s="4" t="s">
        <v>53</v>
      </c>
      <c r="N13" s="4" t="s">
        <v>53</v>
      </c>
      <c r="O13" s="4" t="s">
        <v>53</v>
      </c>
      <c r="P13" s="405" t="s">
        <v>53</v>
      </c>
      <c r="Q13" s="4" t="s">
        <v>53</v>
      </c>
      <c r="R13" s="4" t="s">
        <v>53</v>
      </c>
      <c r="S13" s="4" t="s">
        <v>53</v>
      </c>
      <c r="T13" s="4" t="s">
        <v>53</v>
      </c>
      <c r="U13" s="4" t="s">
        <v>53</v>
      </c>
      <c r="V13" s="4" t="s">
        <v>53</v>
      </c>
      <c r="W13" s="4" t="s">
        <v>53</v>
      </c>
      <c r="X13" s="4" t="s">
        <v>53</v>
      </c>
      <c r="Y13" s="4" t="s">
        <v>53</v>
      </c>
      <c r="Z13" s="1" t="s">
        <v>53</v>
      </c>
      <c r="AA13" s="15" t="s">
        <v>53</v>
      </c>
      <c r="AB13" s="4"/>
      <c r="AC13" s="4"/>
      <c r="AD13" s="4"/>
      <c r="AE13" s="4"/>
      <c r="AF13" s="4"/>
      <c r="AG13" s="1">
        <v>0</v>
      </c>
      <c r="AH13" s="4" t="s">
        <v>53</v>
      </c>
      <c r="AK13" s="4" t="s">
        <v>53</v>
      </c>
      <c r="AL13" s="4" t="s">
        <v>53</v>
      </c>
      <c r="AM13" s="4" t="s">
        <v>53</v>
      </c>
      <c r="AN13" s="4" t="s">
        <v>53</v>
      </c>
      <c r="AO13" s="1" t="s">
        <v>53</v>
      </c>
      <c r="AP13" s="1" t="s">
        <v>53</v>
      </c>
      <c r="AR13" s="1" t="s">
        <v>53</v>
      </c>
      <c r="AW13" s="406">
        <v>7</v>
      </c>
      <c r="AX13" s="1" t="s">
        <v>53</v>
      </c>
      <c r="AY13" s="19" t="s">
        <v>53</v>
      </c>
      <c r="AZ13" s="406" t="s">
        <v>542</v>
      </c>
      <c r="BA13" s="1" t="s">
        <v>827</v>
      </c>
      <c r="BC13" s="15" t="s">
        <v>53</v>
      </c>
      <c r="BD13" s="4" t="s">
        <v>53</v>
      </c>
    </row>
    <row r="14" spans="1:56">
      <c r="B14" s="1">
        <v>0</v>
      </c>
      <c r="C14" s="1">
        <v>8</v>
      </c>
      <c r="D14" s="1" t="s">
        <v>53</v>
      </c>
      <c r="E14" s="4" t="s">
        <v>53</v>
      </c>
      <c r="F14" s="4" t="s">
        <v>53</v>
      </c>
      <c r="G14" s="13" t="s">
        <v>53</v>
      </c>
      <c r="H14" s="13" t="s">
        <v>53</v>
      </c>
      <c r="I14" s="13" t="s">
        <v>53</v>
      </c>
      <c r="J14" s="4" t="s">
        <v>53</v>
      </c>
      <c r="K14" s="4" t="s">
        <v>53</v>
      </c>
      <c r="L14" s="4" t="s">
        <v>53</v>
      </c>
      <c r="M14" s="4" t="s">
        <v>53</v>
      </c>
      <c r="N14" s="4" t="s">
        <v>53</v>
      </c>
      <c r="O14" s="4" t="s">
        <v>53</v>
      </c>
      <c r="P14" s="405" t="s">
        <v>53</v>
      </c>
      <c r="Q14" s="4" t="s">
        <v>53</v>
      </c>
      <c r="R14" s="4" t="s">
        <v>53</v>
      </c>
      <c r="S14" s="4" t="s">
        <v>53</v>
      </c>
      <c r="T14" s="4" t="s">
        <v>53</v>
      </c>
      <c r="U14" s="4" t="s">
        <v>53</v>
      </c>
      <c r="V14" s="4" t="s">
        <v>53</v>
      </c>
      <c r="W14" s="4" t="s">
        <v>53</v>
      </c>
      <c r="X14" s="4" t="s">
        <v>53</v>
      </c>
      <c r="Y14" s="4" t="s">
        <v>53</v>
      </c>
      <c r="Z14" s="1" t="s">
        <v>53</v>
      </c>
      <c r="AA14" s="15" t="s">
        <v>53</v>
      </c>
      <c r="AB14" s="4"/>
      <c r="AC14" s="4"/>
      <c r="AD14" s="4"/>
      <c r="AE14" s="4"/>
      <c r="AF14" s="4"/>
      <c r="AG14" s="1">
        <v>0</v>
      </c>
      <c r="AH14" s="4" t="s">
        <v>53</v>
      </c>
      <c r="AK14" s="4" t="s">
        <v>53</v>
      </c>
      <c r="AL14" s="4" t="s">
        <v>53</v>
      </c>
      <c r="AM14" s="4" t="s">
        <v>53</v>
      </c>
      <c r="AN14" s="4" t="s">
        <v>53</v>
      </c>
      <c r="AO14" s="1" t="s">
        <v>53</v>
      </c>
      <c r="AP14" s="1" t="s">
        <v>53</v>
      </c>
      <c r="AS14" s="1" t="s">
        <v>53</v>
      </c>
      <c r="AW14" s="406">
        <v>8</v>
      </c>
      <c r="AX14" s="1" t="s">
        <v>53</v>
      </c>
      <c r="AY14" s="19" t="s">
        <v>53</v>
      </c>
      <c r="AZ14" s="406" t="s">
        <v>542</v>
      </c>
      <c r="BA14" s="1" t="s">
        <v>827</v>
      </c>
      <c r="BC14" s="15" t="s">
        <v>53</v>
      </c>
      <c r="BD14" s="4" t="s">
        <v>53</v>
      </c>
    </row>
    <row r="15" spans="1:56">
      <c r="B15" s="1">
        <v>0</v>
      </c>
      <c r="C15" s="1">
        <v>9</v>
      </c>
      <c r="D15" s="1" t="s">
        <v>53</v>
      </c>
      <c r="E15" s="4" t="s">
        <v>53</v>
      </c>
      <c r="F15" s="4" t="s">
        <v>53</v>
      </c>
      <c r="G15" s="13" t="s">
        <v>53</v>
      </c>
      <c r="H15" s="13" t="s">
        <v>53</v>
      </c>
      <c r="I15" s="13" t="s">
        <v>53</v>
      </c>
      <c r="J15" s="4" t="s">
        <v>53</v>
      </c>
      <c r="K15" s="4" t="s">
        <v>53</v>
      </c>
      <c r="L15" s="4" t="s">
        <v>53</v>
      </c>
      <c r="M15" s="4" t="s">
        <v>53</v>
      </c>
      <c r="N15" s="4" t="s">
        <v>53</v>
      </c>
      <c r="O15" s="4" t="s">
        <v>53</v>
      </c>
      <c r="P15" s="405" t="s">
        <v>53</v>
      </c>
      <c r="Q15" s="4" t="s">
        <v>53</v>
      </c>
      <c r="R15" s="4" t="s">
        <v>53</v>
      </c>
      <c r="S15" s="4" t="s">
        <v>53</v>
      </c>
      <c r="T15" s="4" t="s">
        <v>53</v>
      </c>
      <c r="U15" s="4" t="s">
        <v>53</v>
      </c>
      <c r="V15" s="4" t="s">
        <v>53</v>
      </c>
      <c r="W15" s="4" t="s">
        <v>53</v>
      </c>
      <c r="X15" s="4" t="s">
        <v>53</v>
      </c>
      <c r="Y15" s="4" t="s">
        <v>53</v>
      </c>
      <c r="Z15" s="1" t="s">
        <v>53</v>
      </c>
      <c r="AA15" s="15" t="s">
        <v>53</v>
      </c>
      <c r="AB15" s="4"/>
      <c r="AC15" s="4"/>
      <c r="AD15" s="4"/>
      <c r="AE15" s="4"/>
      <c r="AF15" s="4"/>
      <c r="AG15" s="1">
        <v>0</v>
      </c>
      <c r="AH15" s="4" t="s">
        <v>53</v>
      </c>
      <c r="AK15" s="4" t="s">
        <v>53</v>
      </c>
      <c r="AL15" s="4" t="s">
        <v>53</v>
      </c>
      <c r="AM15" s="4" t="s">
        <v>53</v>
      </c>
      <c r="AN15" s="4" t="s">
        <v>53</v>
      </c>
      <c r="AO15" s="1" t="s">
        <v>53</v>
      </c>
      <c r="AP15" s="1" t="s">
        <v>53</v>
      </c>
      <c r="AT15" s="1" t="s">
        <v>53</v>
      </c>
      <c r="AW15" s="406">
        <v>9</v>
      </c>
      <c r="AX15" s="1" t="s">
        <v>53</v>
      </c>
      <c r="AY15" s="19" t="s">
        <v>53</v>
      </c>
      <c r="AZ15" s="406" t="s">
        <v>542</v>
      </c>
      <c r="BA15" s="1" t="s">
        <v>827</v>
      </c>
      <c r="BC15" s="15" t="s">
        <v>53</v>
      </c>
      <c r="BD15" s="4" t="s">
        <v>53</v>
      </c>
    </row>
    <row r="16" spans="1:56">
      <c r="B16" s="1">
        <v>0</v>
      </c>
      <c r="C16" s="1">
        <v>10</v>
      </c>
      <c r="D16" s="1" t="s">
        <v>53</v>
      </c>
      <c r="E16" s="4" t="s">
        <v>53</v>
      </c>
      <c r="F16" s="4" t="s">
        <v>53</v>
      </c>
      <c r="G16" s="13" t="s">
        <v>53</v>
      </c>
      <c r="H16" s="13" t="s">
        <v>53</v>
      </c>
      <c r="I16" s="13" t="s">
        <v>53</v>
      </c>
      <c r="J16" s="4" t="s">
        <v>53</v>
      </c>
      <c r="K16" s="4" t="s">
        <v>53</v>
      </c>
      <c r="L16" s="4" t="s">
        <v>53</v>
      </c>
      <c r="M16" s="4" t="s">
        <v>53</v>
      </c>
      <c r="N16" s="4" t="s">
        <v>53</v>
      </c>
      <c r="O16" s="4" t="s">
        <v>53</v>
      </c>
      <c r="P16" s="405" t="s">
        <v>53</v>
      </c>
      <c r="Q16" s="4" t="s">
        <v>53</v>
      </c>
      <c r="R16" s="4" t="s">
        <v>53</v>
      </c>
      <c r="S16" s="4" t="s">
        <v>53</v>
      </c>
      <c r="T16" s="4" t="s">
        <v>53</v>
      </c>
      <c r="U16" s="4" t="s">
        <v>53</v>
      </c>
      <c r="V16" s="4" t="s">
        <v>53</v>
      </c>
      <c r="W16" s="4" t="s">
        <v>53</v>
      </c>
      <c r="X16" s="4" t="s">
        <v>53</v>
      </c>
      <c r="Y16" s="4" t="s">
        <v>53</v>
      </c>
      <c r="Z16" s="1" t="s">
        <v>53</v>
      </c>
      <c r="AA16" s="15" t="s">
        <v>53</v>
      </c>
      <c r="AB16" s="4"/>
      <c r="AC16" s="4"/>
      <c r="AD16" s="4"/>
      <c r="AE16" s="4"/>
      <c r="AF16" s="4"/>
      <c r="AG16" s="1">
        <v>0</v>
      </c>
      <c r="AH16" s="4" t="s">
        <v>53</v>
      </c>
      <c r="AK16" s="4" t="s">
        <v>53</v>
      </c>
      <c r="AL16" s="4" t="s">
        <v>53</v>
      </c>
      <c r="AM16" s="4" t="s">
        <v>53</v>
      </c>
      <c r="AN16" s="4" t="s">
        <v>53</v>
      </c>
      <c r="AO16" s="1" t="s">
        <v>53</v>
      </c>
      <c r="AP16" s="1" t="s">
        <v>53</v>
      </c>
      <c r="AR16" s="1" t="s">
        <v>53</v>
      </c>
      <c r="AW16" s="406">
        <v>10</v>
      </c>
      <c r="AX16" s="1" t="s">
        <v>53</v>
      </c>
      <c r="AY16" s="19" t="s">
        <v>53</v>
      </c>
      <c r="AZ16" s="406" t="s">
        <v>542</v>
      </c>
      <c r="BA16" s="1" t="s">
        <v>827</v>
      </c>
      <c r="BC16" s="15" t="s">
        <v>53</v>
      </c>
      <c r="BD16" s="4" t="s">
        <v>53</v>
      </c>
    </row>
    <row r="17" spans="2:56">
      <c r="B17" s="1">
        <v>0</v>
      </c>
      <c r="C17" s="1">
        <v>11</v>
      </c>
      <c r="D17" s="1" t="s">
        <v>53</v>
      </c>
      <c r="E17" s="4" t="s">
        <v>53</v>
      </c>
      <c r="F17" s="4" t="s">
        <v>53</v>
      </c>
      <c r="G17" s="13" t="s">
        <v>53</v>
      </c>
      <c r="H17" s="13" t="s">
        <v>53</v>
      </c>
      <c r="I17" s="13" t="s">
        <v>53</v>
      </c>
      <c r="J17" s="4" t="s">
        <v>53</v>
      </c>
      <c r="K17" s="4" t="s">
        <v>53</v>
      </c>
      <c r="L17" s="4" t="s">
        <v>53</v>
      </c>
      <c r="M17" s="4" t="s">
        <v>53</v>
      </c>
      <c r="N17" s="4" t="s">
        <v>53</v>
      </c>
      <c r="O17" s="4" t="s">
        <v>53</v>
      </c>
      <c r="P17" s="405" t="s">
        <v>53</v>
      </c>
      <c r="Q17" s="4" t="s">
        <v>53</v>
      </c>
      <c r="R17" s="4" t="s">
        <v>53</v>
      </c>
      <c r="S17" s="4" t="s">
        <v>53</v>
      </c>
      <c r="T17" s="4" t="s">
        <v>53</v>
      </c>
      <c r="U17" s="4" t="s">
        <v>53</v>
      </c>
      <c r="V17" s="4" t="s">
        <v>53</v>
      </c>
      <c r="W17" s="4" t="s">
        <v>53</v>
      </c>
      <c r="X17" s="4" t="s">
        <v>53</v>
      </c>
      <c r="Y17" s="4" t="s">
        <v>53</v>
      </c>
      <c r="Z17" s="1" t="s">
        <v>53</v>
      </c>
      <c r="AA17" s="15" t="s">
        <v>53</v>
      </c>
      <c r="AB17" s="4"/>
      <c r="AC17" s="4"/>
      <c r="AD17" s="4"/>
      <c r="AE17" s="4"/>
      <c r="AF17" s="4"/>
      <c r="AG17" s="1">
        <v>0</v>
      </c>
      <c r="AH17" s="4" t="s">
        <v>53</v>
      </c>
      <c r="AK17" s="4" t="s">
        <v>53</v>
      </c>
      <c r="AL17" s="4" t="s">
        <v>53</v>
      </c>
      <c r="AM17" s="4" t="s">
        <v>53</v>
      </c>
      <c r="AN17" s="4" t="s">
        <v>53</v>
      </c>
      <c r="AO17" s="1" t="s">
        <v>53</v>
      </c>
      <c r="AP17" s="1" t="s">
        <v>53</v>
      </c>
      <c r="AS17" s="1" t="s">
        <v>53</v>
      </c>
      <c r="AW17" s="406">
        <v>11</v>
      </c>
      <c r="AX17" s="1" t="s">
        <v>53</v>
      </c>
      <c r="AY17" s="19" t="s">
        <v>53</v>
      </c>
      <c r="AZ17" s="406" t="s">
        <v>542</v>
      </c>
      <c r="BA17" s="1" t="s">
        <v>827</v>
      </c>
      <c r="BC17" s="15" t="s">
        <v>53</v>
      </c>
      <c r="BD17" s="4" t="s">
        <v>53</v>
      </c>
    </row>
    <row r="18" spans="2:56">
      <c r="B18" s="1">
        <v>0</v>
      </c>
      <c r="C18" s="1">
        <v>12</v>
      </c>
      <c r="D18" s="1" t="s">
        <v>53</v>
      </c>
      <c r="E18" s="4" t="s">
        <v>53</v>
      </c>
      <c r="F18" s="4" t="s">
        <v>53</v>
      </c>
      <c r="G18" s="13" t="s">
        <v>53</v>
      </c>
      <c r="H18" s="13" t="s">
        <v>53</v>
      </c>
      <c r="I18" s="13" t="s">
        <v>53</v>
      </c>
      <c r="J18" s="4" t="s">
        <v>53</v>
      </c>
      <c r="K18" s="4" t="s">
        <v>53</v>
      </c>
      <c r="L18" s="4" t="s">
        <v>53</v>
      </c>
      <c r="M18" s="4" t="s">
        <v>53</v>
      </c>
      <c r="N18" s="4" t="s">
        <v>53</v>
      </c>
      <c r="O18" s="4" t="s">
        <v>53</v>
      </c>
      <c r="P18" s="405" t="s">
        <v>53</v>
      </c>
      <c r="Q18" s="4" t="s">
        <v>53</v>
      </c>
      <c r="R18" s="4" t="s">
        <v>53</v>
      </c>
      <c r="S18" s="4" t="s">
        <v>53</v>
      </c>
      <c r="T18" s="4" t="s">
        <v>53</v>
      </c>
      <c r="U18" s="4" t="s">
        <v>53</v>
      </c>
      <c r="V18" s="4" t="s">
        <v>53</v>
      </c>
      <c r="W18" s="4" t="s">
        <v>53</v>
      </c>
      <c r="X18" s="4" t="s">
        <v>53</v>
      </c>
      <c r="Y18" s="4" t="s">
        <v>53</v>
      </c>
      <c r="Z18" s="1" t="s">
        <v>53</v>
      </c>
      <c r="AA18" s="15" t="s">
        <v>53</v>
      </c>
      <c r="AB18" s="4"/>
      <c r="AC18" s="4"/>
      <c r="AD18" s="4"/>
      <c r="AE18" s="4"/>
      <c r="AF18" s="4"/>
      <c r="AG18" s="1">
        <v>0</v>
      </c>
      <c r="AH18" s="4" t="s">
        <v>53</v>
      </c>
      <c r="AK18" s="4" t="s">
        <v>53</v>
      </c>
      <c r="AL18" s="4" t="s">
        <v>53</v>
      </c>
      <c r="AM18" s="4" t="s">
        <v>53</v>
      </c>
      <c r="AN18" s="4" t="s">
        <v>53</v>
      </c>
      <c r="AO18" s="1" t="s">
        <v>53</v>
      </c>
      <c r="AP18" s="1" t="s">
        <v>53</v>
      </c>
      <c r="AT18" s="1" t="s">
        <v>53</v>
      </c>
      <c r="AW18" s="406">
        <v>12</v>
      </c>
      <c r="AX18" s="1" t="s">
        <v>53</v>
      </c>
      <c r="AY18" s="19" t="s">
        <v>53</v>
      </c>
      <c r="AZ18" s="406" t="s">
        <v>542</v>
      </c>
      <c r="BA18" s="1" t="s">
        <v>827</v>
      </c>
      <c r="BC18" s="15" t="s">
        <v>53</v>
      </c>
      <c r="BD18" s="4" t="s">
        <v>53</v>
      </c>
    </row>
    <row r="19" spans="2:56">
      <c r="B19" s="1">
        <v>0</v>
      </c>
      <c r="C19" s="1">
        <v>13</v>
      </c>
      <c r="D19" s="1" t="s">
        <v>53</v>
      </c>
      <c r="E19" s="4" t="s">
        <v>53</v>
      </c>
      <c r="F19" s="4" t="s">
        <v>53</v>
      </c>
      <c r="G19" s="13" t="s">
        <v>53</v>
      </c>
      <c r="H19" s="13" t="s">
        <v>53</v>
      </c>
      <c r="I19" s="13" t="s">
        <v>53</v>
      </c>
      <c r="J19" s="4" t="s">
        <v>53</v>
      </c>
      <c r="K19" s="4" t="s">
        <v>53</v>
      </c>
      <c r="L19" s="4" t="s">
        <v>53</v>
      </c>
      <c r="M19" s="4" t="s">
        <v>53</v>
      </c>
      <c r="N19" s="4" t="s">
        <v>53</v>
      </c>
      <c r="O19" s="4" t="s">
        <v>53</v>
      </c>
      <c r="P19" s="405" t="s">
        <v>53</v>
      </c>
      <c r="Q19" s="4" t="s">
        <v>53</v>
      </c>
      <c r="R19" s="4" t="s">
        <v>53</v>
      </c>
      <c r="S19" s="4" t="s">
        <v>53</v>
      </c>
      <c r="T19" s="4" t="s">
        <v>53</v>
      </c>
      <c r="U19" s="4" t="s">
        <v>53</v>
      </c>
      <c r="V19" s="4" t="s">
        <v>53</v>
      </c>
      <c r="W19" s="4" t="s">
        <v>53</v>
      </c>
      <c r="X19" s="4" t="s">
        <v>53</v>
      </c>
      <c r="Y19" s="4" t="s">
        <v>53</v>
      </c>
      <c r="Z19" s="1" t="s">
        <v>53</v>
      </c>
      <c r="AA19" s="15" t="s">
        <v>53</v>
      </c>
      <c r="AB19" s="4"/>
      <c r="AC19" s="4"/>
      <c r="AD19" s="4"/>
      <c r="AE19" s="4"/>
      <c r="AF19" s="4"/>
      <c r="AG19" s="1">
        <v>0</v>
      </c>
      <c r="AH19" s="4" t="s">
        <v>53</v>
      </c>
      <c r="AK19" s="4" t="s">
        <v>53</v>
      </c>
      <c r="AL19" s="4" t="s">
        <v>53</v>
      </c>
      <c r="AM19" s="4" t="s">
        <v>53</v>
      </c>
      <c r="AN19" s="4" t="s">
        <v>53</v>
      </c>
      <c r="AO19" s="1" t="s">
        <v>53</v>
      </c>
      <c r="AP19" s="1" t="s">
        <v>53</v>
      </c>
      <c r="AR19" s="1" t="s">
        <v>53</v>
      </c>
      <c r="AW19" s="406">
        <v>13</v>
      </c>
      <c r="AX19" s="1" t="s">
        <v>53</v>
      </c>
      <c r="AY19" s="19" t="s">
        <v>53</v>
      </c>
      <c r="AZ19" s="406" t="s">
        <v>542</v>
      </c>
      <c r="BA19" s="1" t="s">
        <v>827</v>
      </c>
      <c r="BC19" s="15" t="s">
        <v>53</v>
      </c>
      <c r="BD19" s="4" t="s">
        <v>53</v>
      </c>
    </row>
    <row r="20" spans="2:56">
      <c r="B20" s="1">
        <v>0</v>
      </c>
      <c r="C20" s="1">
        <v>14</v>
      </c>
      <c r="D20" s="1" t="s">
        <v>53</v>
      </c>
      <c r="E20" s="4" t="s">
        <v>53</v>
      </c>
      <c r="F20" s="4" t="s">
        <v>53</v>
      </c>
      <c r="G20" s="13" t="s">
        <v>53</v>
      </c>
      <c r="H20" s="13" t="s">
        <v>53</v>
      </c>
      <c r="I20" s="13" t="s">
        <v>53</v>
      </c>
      <c r="J20" s="4" t="s">
        <v>53</v>
      </c>
      <c r="K20" s="4" t="s">
        <v>53</v>
      </c>
      <c r="L20" s="4" t="s">
        <v>53</v>
      </c>
      <c r="M20" s="4" t="s">
        <v>53</v>
      </c>
      <c r="N20" s="4" t="s">
        <v>53</v>
      </c>
      <c r="O20" s="4" t="s">
        <v>53</v>
      </c>
      <c r="P20" s="405" t="s">
        <v>53</v>
      </c>
      <c r="Q20" s="4" t="s">
        <v>53</v>
      </c>
      <c r="R20" s="4" t="s">
        <v>53</v>
      </c>
      <c r="S20" s="4" t="s">
        <v>53</v>
      </c>
      <c r="T20" s="4" t="s">
        <v>53</v>
      </c>
      <c r="U20" s="4" t="s">
        <v>53</v>
      </c>
      <c r="V20" s="4" t="s">
        <v>53</v>
      </c>
      <c r="W20" s="4" t="s">
        <v>53</v>
      </c>
      <c r="X20" s="4" t="s">
        <v>53</v>
      </c>
      <c r="Y20" s="4" t="s">
        <v>53</v>
      </c>
      <c r="Z20" s="1" t="s">
        <v>53</v>
      </c>
      <c r="AA20" s="15" t="s">
        <v>53</v>
      </c>
      <c r="AB20" s="4"/>
      <c r="AC20" s="4"/>
      <c r="AD20" s="4"/>
      <c r="AE20" s="4"/>
      <c r="AF20" s="4"/>
      <c r="AG20" s="1">
        <v>0</v>
      </c>
      <c r="AH20" s="4" t="s">
        <v>53</v>
      </c>
      <c r="AK20" s="4" t="s">
        <v>53</v>
      </c>
      <c r="AL20" s="4" t="s">
        <v>53</v>
      </c>
      <c r="AM20" s="4" t="s">
        <v>53</v>
      </c>
      <c r="AN20" s="4" t="s">
        <v>53</v>
      </c>
      <c r="AO20" s="1" t="s">
        <v>53</v>
      </c>
      <c r="AP20" s="1" t="s">
        <v>53</v>
      </c>
      <c r="AS20" s="1" t="s">
        <v>53</v>
      </c>
      <c r="AW20" s="406">
        <v>14</v>
      </c>
      <c r="AX20" s="1" t="s">
        <v>53</v>
      </c>
      <c r="AY20" s="19" t="s">
        <v>53</v>
      </c>
      <c r="AZ20" s="406" t="s">
        <v>542</v>
      </c>
      <c r="BA20" s="1" t="s">
        <v>827</v>
      </c>
      <c r="BC20" s="15" t="s">
        <v>53</v>
      </c>
      <c r="BD20" s="4" t="s">
        <v>53</v>
      </c>
    </row>
    <row r="21" spans="2:56">
      <c r="B21" s="1">
        <v>0</v>
      </c>
      <c r="C21" s="1">
        <v>15</v>
      </c>
      <c r="D21" s="1" t="s">
        <v>53</v>
      </c>
      <c r="E21" s="4" t="s">
        <v>53</v>
      </c>
      <c r="F21" s="4" t="s">
        <v>53</v>
      </c>
      <c r="G21" s="13" t="s">
        <v>53</v>
      </c>
      <c r="H21" s="13" t="s">
        <v>53</v>
      </c>
      <c r="I21" s="13" t="s">
        <v>53</v>
      </c>
      <c r="J21" s="4" t="s">
        <v>53</v>
      </c>
      <c r="K21" s="4" t="s">
        <v>53</v>
      </c>
      <c r="L21" s="4" t="s">
        <v>53</v>
      </c>
      <c r="M21" s="4" t="s">
        <v>53</v>
      </c>
      <c r="N21" s="4" t="s">
        <v>53</v>
      </c>
      <c r="O21" s="4" t="s">
        <v>53</v>
      </c>
      <c r="P21" s="405" t="s">
        <v>53</v>
      </c>
      <c r="Q21" s="4" t="s">
        <v>53</v>
      </c>
      <c r="R21" s="4" t="s">
        <v>53</v>
      </c>
      <c r="S21" s="4" t="s">
        <v>53</v>
      </c>
      <c r="T21" s="4" t="s">
        <v>53</v>
      </c>
      <c r="U21" s="4" t="s">
        <v>53</v>
      </c>
      <c r="V21" s="4" t="s">
        <v>53</v>
      </c>
      <c r="W21" s="4" t="s">
        <v>53</v>
      </c>
      <c r="X21" s="4" t="s">
        <v>53</v>
      </c>
      <c r="Y21" s="4" t="s">
        <v>53</v>
      </c>
      <c r="Z21" s="1" t="s">
        <v>53</v>
      </c>
      <c r="AA21" s="15" t="s">
        <v>53</v>
      </c>
      <c r="AB21" s="4"/>
      <c r="AC21" s="4"/>
      <c r="AD21" s="4"/>
      <c r="AE21" s="4"/>
      <c r="AF21" s="4"/>
      <c r="AG21" s="1">
        <v>0</v>
      </c>
      <c r="AH21" s="4" t="s">
        <v>53</v>
      </c>
      <c r="AK21" s="4" t="s">
        <v>53</v>
      </c>
      <c r="AL21" s="4" t="s">
        <v>53</v>
      </c>
      <c r="AM21" s="4" t="s">
        <v>53</v>
      </c>
      <c r="AN21" s="4" t="s">
        <v>53</v>
      </c>
      <c r="AO21" s="1" t="s">
        <v>53</v>
      </c>
      <c r="AP21" s="1" t="s">
        <v>53</v>
      </c>
      <c r="AT21" s="1" t="s">
        <v>53</v>
      </c>
      <c r="AW21" s="406">
        <v>15</v>
      </c>
      <c r="AX21" s="1" t="s">
        <v>53</v>
      </c>
      <c r="AY21" s="19" t="s">
        <v>53</v>
      </c>
      <c r="AZ21" s="406" t="s">
        <v>542</v>
      </c>
      <c r="BA21" s="1" t="s">
        <v>827</v>
      </c>
      <c r="BC21" s="15" t="s">
        <v>53</v>
      </c>
      <c r="BD21" s="4" t="s">
        <v>53</v>
      </c>
    </row>
    <row r="22" spans="2:56">
      <c r="B22" s="1">
        <v>0</v>
      </c>
      <c r="C22" s="1">
        <v>16</v>
      </c>
      <c r="D22" s="1" t="s">
        <v>53</v>
      </c>
      <c r="E22" s="4" t="s">
        <v>53</v>
      </c>
      <c r="F22" s="4" t="s">
        <v>53</v>
      </c>
      <c r="G22" s="13" t="s">
        <v>53</v>
      </c>
      <c r="H22" s="13" t="s">
        <v>53</v>
      </c>
      <c r="I22" s="13" t="s">
        <v>53</v>
      </c>
      <c r="J22" s="4" t="s">
        <v>53</v>
      </c>
      <c r="K22" s="4" t="s">
        <v>53</v>
      </c>
      <c r="L22" s="4" t="s">
        <v>53</v>
      </c>
      <c r="M22" s="4" t="s">
        <v>53</v>
      </c>
      <c r="N22" s="4" t="s">
        <v>53</v>
      </c>
      <c r="O22" s="4" t="s">
        <v>53</v>
      </c>
      <c r="P22" s="405" t="s">
        <v>53</v>
      </c>
      <c r="Q22" s="4" t="s">
        <v>53</v>
      </c>
      <c r="R22" s="4" t="s">
        <v>53</v>
      </c>
      <c r="S22" s="4" t="s">
        <v>53</v>
      </c>
      <c r="T22" s="4" t="s">
        <v>53</v>
      </c>
      <c r="U22" s="4" t="s">
        <v>53</v>
      </c>
      <c r="V22" s="4" t="s">
        <v>53</v>
      </c>
      <c r="W22" s="4" t="s">
        <v>53</v>
      </c>
      <c r="X22" s="4" t="s">
        <v>53</v>
      </c>
      <c r="Y22" s="4" t="s">
        <v>53</v>
      </c>
      <c r="Z22" s="1" t="s">
        <v>53</v>
      </c>
      <c r="AA22" s="15" t="s">
        <v>53</v>
      </c>
      <c r="AB22" s="4"/>
      <c r="AC22" s="4"/>
      <c r="AD22" s="4"/>
      <c r="AE22" s="4"/>
      <c r="AF22" s="4"/>
      <c r="AG22" s="1">
        <v>0</v>
      </c>
      <c r="AH22" s="4" t="s">
        <v>53</v>
      </c>
      <c r="AK22" s="4" t="s">
        <v>53</v>
      </c>
      <c r="AL22" s="4" t="s">
        <v>53</v>
      </c>
      <c r="AM22" s="4" t="s">
        <v>53</v>
      </c>
      <c r="AN22" s="4" t="s">
        <v>53</v>
      </c>
      <c r="AO22" s="1" t="s">
        <v>53</v>
      </c>
      <c r="AP22" s="1" t="s">
        <v>53</v>
      </c>
      <c r="AR22" s="1" t="s">
        <v>53</v>
      </c>
      <c r="AW22" s="406">
        <v>16</v>
      </c>
      <c r="AX22" s="1" t="s">
        <v>53</v>
      </c>
      <c r="AY22" s="19" t="s">
        <v>53</v>
      </c>
      <c r="AZ22" s="406" t="s">
        <v>542</v>
      </c>
      <c r="BA22" s="1" t="s">
        <v>827</v>
      </c>
      <c r="BC22" s="15" t="s">
        <v>53</v>
      </c>
      <c r="BD22" s="4" t="s">
        <v>53</v>
      </c>
    </row>
    <row r="23" spans="2:56">
      <c r="B23" s="1">
        <v>0</v>
      </c>
      <c r="C23" s="1">
        <v>17</v>
      </c>
      <c r="D23" s="1" t="s">
        <v>53</v>
      </c>
      <c r="E23" s="4" t="s">
        <v>53</v>
      </c>
      <c r="F23" s="4" t="s">
        <v>53</v>
      </c>
      <c r="G23" s="13" t="s">
        <v>53</v>
      </c>
      <c r="H23" s="13" t="s">
        <v>53</v>
      </c>
      <c r="I23" s="13" t="s">
        <v>53</v>
      </c>
      <c r="J23" s="4" t="s">
        <v>53</v>
      </c>
      <c r="K23" s="4" t="s">
        <v>53</v>
      </c>
      <c r="L23" s="4" t="s">
        <v>53</v>
      </c>
      <c r="M23" s="4" t="s">
        <v>53</v>
      </c>
      <c r="N23" s="4" t="s">
        <v>53</v>
      </c>
      <c r="O23" s="4" t="s">
        <v>53</v>
      </c>
      <c r="P23" s="405" t="s">
        <v>53</v>
      </c>
      <c r="Q23" s="4" t="s">
        <v>53</v>
      </c>
      <c r="R23" s="4" t="s">
        <v>53</v>
      </c>
      <c r="S23" s="4" t="s">
        <v>53</v>
      </c>
      <c r="T23" s="4" t="s">
        <v>53</v>
      </c>
      <c r="U23" s="4" t="s">
        <v>53</v>
      </c>
      <c r="V23" s="4" t="s">
        <v>53</v>
      </c>
      <c r="W23" s="4" t="s">
        <v>53</v>
      </c>
      <c r="X23" s="4" t="s">
        <v>53</v>
      </c>
      <c r="Y23" s="4" t="s">
        <v>53</v>
      </c>
      <c r="Z23" s="1" t="s">
        <v>53</v>
      </c>
      <c r="AA23" s="15" t="s">
        <v>53</v>
      </c>
      <c r="AB23" s="4"/>
      <c r="AC23" s="4"/>
      <c r="AD23" s="4"/>
      <c r="AE23" s="4"/>
      <c r="AF23" s="4"/>
      <c r="AG23" s="1">
        <v>0</v>
      </c>
      <c r="AH23" s="4" t="s">
        <v>53</v>
      </c>
      <c r="AK23" s="4" t="s">
        <v>53</v>
      </c>
      <c r="AL23" s="4" t="s">
        <v>53</v>
      </c>
      <c r="AM23" s="4" t="s">
        <v>53</v>
      </c>
      <c r="AN23" s="4" t="s">
        <v>53</v>
      </c>
      <c r="AO23" s="1" t="s">
        <v>53</v>
      </c>
      <c r="AP23" s="1" t="s">
        <v>53</v>
      </c>
      <c r="AS23" s="1" t="s">
        <v>53</v>
      </c>
      <c r="AW23" s="406">
        <v>17</v>
      </c>
      <c r="AX23" s="1" t="s">
        <v>53</v>
      </c>
      <c r="AY23" s="19" t="s">
        <v>53</v>
      </c>
      <c r="AZ23" s="406" t="s">
        <v>542</v>
      </c>
      <c r="BA23" s="1" t="s">
        <v>827</v>
      </c>
      <c r="BC23" s="15" t="s">
        <v>53</v>
      </c>
      <c r="BD23" s="4" t="s">
        <v>53</v>
      </c>
    </row>
    <row r="24" spans="2:56">
      <c r="B24" s="1">
        <v>0</v>
      </c>
      <c r="C24" s="1">
        <v>18</v>
      </c>
      <c r="D24" s="1" t="s">
        <v>53</v>
      </c>
      <c r="E24" s="4" t="s">
        <v>53</v>
      </c>
      <c r="F24" s="4" t="s">
        <v>53</v>
      </c>
      <c r="G24" s="13" t="s">
        <v>53</v>
      </c>
      <c r="H24" s="13" t="s">
        <v>53</v>
      </c>
      <c r="I24" s="13" t="s">
        <v>53</v>
      </c>
      <c r="J24" s="4" t="s">
        <v>53</v>
      </c>
      <c r="K24" s="4" t="s">
        <v>53</v>
      </c>
      <c r="L24" s="4" t="s">
        <v>53</v>
      </c>
      <c r="M24" s="4" t="s">
        <v>53</v>
      </c>
      <c r="N24" s="4" t="s">
        <v>53</v>
      </c>
      <c r="O24" s="4" t="s">
        <v>53</v>
      </c>
      <c r="P24" s="405" t="s">
        <v>53</v>
      </c>
      <c r="Q24" s="4" t="s">
        <v>53</v>
      </c>
      <c r="R24" s="4" t="s">
        <v>53</v>
      </c>
      <c r="S24" s="4" t="s">
        <v>53</v>
      </c>
      <c r="T24" s="4" t="s">
        <v>53</v>
      </c>
      <c r="U24" s="4" t="s">
        <v>53</v>
      </c>
      <c r="V24" s="4" t="s">
        <v>53</v>
      </c>
      <c r="W24" s="4" t="s">
        <v>53</v>
      </c>
      <c r="X24" s="4" t="s">
        <v>53</v>
      </c>
      <c r="Y24" s="4" t="s">
        <v>53</v>
      </c>
      <c r="Z24" s="1" t="s">
        <v>53</v>
      </c>
      <c r="AA24" s="15" t="s">
        <v>53</v>
      </c>
      <c r="AB24" s="4"/>
      <c r="AC24" s="4"/>
      <c r="AD24" s="4"/>
      <c r="AE24" s="4"/>
      <c r="AF24" s="4"/>
      <c r="AG24" s="1">
        <v>0</v>
      </c>
      <c r="AH24" s="4" t="s">
        <v>53</v>
      </c>
      <c r="AK24" s="4" t="s">
        <v>53</v>
      </c>
      <c r="AL24" s="4" t="s">
        <v>53</v>
      </c>
      <c r="AM24" s="4" t="s">
        <v>53</v>
      </c>
      <c r="AN24" s="4" t="s">
        <v>53</v>
      </c>
      <c r="AO24" s="1" t="s">
        <v>53</v>
      </c>
      <c r="AP24" s="1" t="s">
        <v>53</v>
      </c>
      <c r="AT24" s="1" t="s">
        <v>53</v>
      </c>
      <c r="AW24" s="406">
        <v>18</v>
      </c>
      <c r="AX24" s="1" t="s">
        <v>53</v>
      </c>
      <c r="AY24" s="19" t="s">
        <v>53</v>
      </c>
      <c r="AZ24" s="406" t="s">
        <v>542</v>
      </c>
      <c r="BA24" s="1" t="s">
        <v>827</v>
      </c>
      <c r="BC24" s="15" t="s">
        <v>53</v>
      </c>
      <c r="BD24" s="4" t="s">
        <v>53</v>
      </c>
    </row>
    <row r="25" spans="2:56">
      <c r="B25" s="1">
        <v>0</v>
      </c>
      <c r="C25" s="1">
        <v>19</v>
      </c>
      <c r="D25" s="1" t="s">
        <v>53</v>
      </c>
      <c r="E25" s="4" t="s">
        <v>53</v>
      </c>
      <c r="F25" s="4" t="s">
        <v>53</v>
      </c>
      <c r="G25" s="13" t="s">
        <v>53</v>
      </c>
      <c r="H25" s="13" t="s">
        <v>53</v>
      </c>
      <c r="I25" s="13" t="s">
        <v>53</v>
      </c>
      <c r="J25" s="4" t="s">
        <v>53</v>
      </c>
      <c r="K25" s="4" t="s">
        <v>53</v>
      </c>
      <c r="L25" s="4" t="s">
        <v>53</v>
      </c>
      <c r="M25" s="4" t="s">
        <v>53</v>
      </c>
      <c r="N25" s="4" t="s">
        <v>53</v>
      </c>
      <c r="O25" s="4" t="s">
        <v>53</v>
      </c>
      <c r="P25" s="405" t="s">
        <v>53</v>
      </c>
      <c r="Q25" s="4" t="s">
        <v>53</v>
      </c>
      <c r="R25" s="4" t="s">
        <v>53</v>
      </c>
      <c r="S25" s="4" t="s">
        <v>53</v>
      </c>
      <c r="T25" s="4" t="s">
        <v>53</v>
      </c>
      <c r="U25" s="4" t="s">
        <v>53</v>
      </c>
      <c r="V25" s="4" t="s">
        <v>53</v>
      </c>
      <c r="W25" s="4" t="s">
        <v>53</v>
      </c>
      <c r="X25" s="4" t="s">
        <v>53</v>
      </c>
      <c r="Y25" s="4" t="s">
        <v>53</v>
      </c>
      <c r="Z25" s="1" t="s">
        <v>53</v>
      </c>
      <c r="AA25" s="15" t="s">
        <v>53</v>
      </c>
      <c r="AB25" s="4"/>
      <c r="AC25" s="4"/>
      <c r="AD25" s="4"/>
      <c r="AE25" s="4"/>
      <c r="AF25" s="4"/>
      <c r="AG25" s="1">
        <v>0</v>
      </c>
      <c r="AH25" s="4" t="s">
        <v>53</v>
      </c>
      <c r="AK25" s="4" t="s">
        <v>53</v>
      </c>
      <c r="AL25" s="4" t="s">
        <v>53</v>
      </c>
      <c r="AM25" s="4" t="s">
        <v>53</v>
      </c>
      <c r="AN25" s="4" t="s">
        <v>53</v>
      </c>
      <c r="AO25" s="1" t="s">
        <v>53</v>
      </c>
      <c r="AP25" s="1" t="s">
        <v>53</v>
      </c>
      <c r="AR25" s="1" t="s">
        <v>53</v>
      </c>
      <c r="AW25" s="406">
        <v>19</v>
      </c>
      <c r="AX25" s="1" t="s">
        <v>53</v>
      </c>
      <c r="AY25" s="19" t="s">
        <v>53</v>
      </c>
      <c r="AZ25" s="406" t="s">
        <v>542</v>
      </c>
      <c r="BA25" s="1" t="s">
        <v>827</v>
      </c>
      <c r="BC25" s="15" t="s">
        <v>53</v>
      </c>
      <c r="BD25" s="4" t="s">
        <v>53</v>
      </c>
    </row>
    <row r="26" spans="2:56">
      <c r="B26" s="1">
        <v>0</v>
      </c>
      <c r="C26" s="1">
        <v>20</v>
      </c>
      <c r="D26" s="1" t="s">
        <v>53</v>
      </c>
      <c r="E26" s="4" t="s">
        <v>53</v>
      </c>
      <c r="F26" s="4" t="s">
        <v>53</v>
      </c>
      <c r="G26" s="13" t="s">
        <v>53</v>
      </c>
      <c r="H26" s="13" t="s">
        <v>53</v>
      </c>
      <c r="I26" s="13" t="s">
        <v>53</v>
      </c>
      <c r="J26" s="4" t="s">
        <v>53</v>
      </c>
      <c r="K26" s="4" t="s">
        <v>53</v>
      </c>
      <c r="L26" s="4" t="s">
        <v>53</v>
      </c>
      <c r="M26" s="4" t="s">
        <v>53</v>
      </c>
      <c r="N26" s="4" t="s">
        <v>53</v>
      </c>
      <c r="O26" s="4" t="s">
        <v>53</v>
      </c>
      <c r="P26" s="405" t="s">
        <v>53</v>
      </c>
      <c r="Q26" s="4" t="s">
        <v>53</v>
      </c>
      <c r="R26" s="4" t="s">
        <v>53</v>
      </c>
      <c r="S26" s="4" t="s">
        <v>53</v>
      </c>
      <c r="T26" s="4" t="s">
        <v>53</v>
      </c>
      <c r="U26" s="4" t="s">
        <v>53</v>
      </c>
      <c r="V26" s="4" t="s">
        <v>53</v>
      </c>
      <c r="W26" s="4" t="s">
        <v>53</v>
      </c>
      <c r="X26" s="4" t="s">
        <v>53</v>
      </c>
      <c r="Y26" s="4" t="s">
        <v>53</v>
      </c>
      <c r="Z26" s="1" t="s">
        <v>53</v>
      </c>
      <c r="AA26" s="15" t="s">
        <v>53</v>
      </c>
      <c r="AB26" s="4"/>
      <c r="AC26" s="4"/>
      <c r="AD26" s="4"/>
      <c r="AE26" s="4"/>
      <c r="AF26" s="4"/>
      <c r="AG26" s="1">
        <v>0</v>
      </c>
      <c r="AH26" s="4" t="s">
        <v>53</v>
      </c>
      <c r="AK26" s="4" t="s">
        <v>53</v>
      </c>
      <c r="AL26" s="4" t="s">
        <v>53</v>
      </c>
      <c r="AM26" s="4" t="s">
        <v>53</v>
      </c>
      <c r="AN26" s="4" t="s">
        <v>53</v>
      </c>
      <c r="AO26" s="1" t="s">
        <v>53</v>
      </c>
      <c r="AP26" s="1" t="s">
        <v>53</v>
      </c>
      <c r="AS26" s="1" t="s">
        <v>53</v>
      </c>
      <c r="AW26" s="406">
        <v>20</v>
      </c>
      <c r="AX26" s="1" t="s">
        <v>53</v>
      </c>
      <c r="AY26" s="19" t="s">
        <v>53</v>
      </c>
      <c r="AZ26" s="406" t="s">
        <v>542</v>
      </c>
      <c r="BA26" s="1" t="s">
        <v>827</v>
      </c>
      <c r="BC26" s="15" t="s">
        <v>53</v>
      </c>
      <c r="BD26" s="4" t="s">
        <v>53</v>
      </c>
    </row>
    <row r="27" spans="2:56">
      <c r="B27" s="1">
        <v>0</v>
      </c>
      <c r="C27" s="1">
        <v>21</v>
      </c>
      <c r="D27" s="1" t="s">
        <v>53</v>
      </c>
      <c r="E27" s="4" t="s">
        <v>53</v>
      </c>
      <c r="F27" s="4" t="s">
        <v>53</v>
      </c>
      <c r="G27" s="13" t="s">
        <v>53</v>
      </c>
      <c r="H27" s="13" t="s">
        <v>53</v>
      </c>
      <c r="I27" s="13" t="s">
        <v>53</v>
      </c>
      <c r="J27" s="4" t="s">
        <v>53</v>
      </c>
      <c r="K27" s="4" t="s">
        <v>53</v>
      </c>
      <c r="L27" s="4" t="s">
        <v>53</v>
      </c>
      <c r="M27" s="4" t="s">
        <v>53</v>
      </c>
      <c r="N27" s="4" t="s">
        <v>53</v>
      </c>
      <c r="O27" s="4" t="s">
        <v>53</v>
      </c>
      <c r="P27" s="405" t="s">
        <v>53</v>
      </c>
      <c r="Q27" s="4" t="s">
        <v>53</v>
      </c>
      <c r="R27" s="4" t="s">
        <v>53</v>
      </c>
      <c r="S27" s="4" t="s">
        <v>53</v>
      </c>
      <c r="T27" s="4" t="s">
        <v>53</v>
      </c>
      <c r="U27" s="4" t="s">
        <v>53</v>
      </c>
      <c r="V27" s="4" t="s">
        <v>53</v>
      </c>
      <c r="W27" s="4" t="s">
        <v>53</v>
      </c>
      <c r="X27" s="4" t="s">
        <v>53</v>
      </c>
      <c r="Y27" s="4" t="s">
        <v>53</v>
      </c>
      <c r="Z27" s="1" t="s">
        <v>53</v>
      </c>
      <c r="AA27" s="15" t="s">
        <v>53</v>
      </c>
      <c r="AB27" s="4"/>
      <c r="AC27" s="4"/>
      <c r="AD27" s="4"/>
      <c r="AE27" s="4"/>
      <c r="AF27" s="4"/>
      <c r="AG27" s="1">
        <v>0</v>
      </c>
      <c r="AH27" s="4" t="s">
        <v>53</v>
      </c>
      <c r="AK27" s="4" t="s">
        <v>53</v>
      </c>
      <c r="AL27" s="4" t="s">
        <v>53</v>
      </c>
      <c r="AM27" s="4" t="s">
        <v>53</v>
      </c>
      <c r="AN27" s="4" t="s">
        <v>53</v>
      </c>
      <c r="AO27" s="1" t="s">
        <v>53</v>
      </c>
      <c r="AP27" s="1" t="s">
        <v>53</v>
      </c>
      <c r="AT27" s="1" t="s">
        <v>53</v>
      </c>
      <c r="AW27" s="406">
        <v>21</v>
      </c>
      <c r="AX27" s="1" t="s">
        <v>53</v>
      </c>
      <c r="AY27" s="19" t="s">
        <v>53</v>
      </c>
      <c r="AZ27" s="406" t="s">
        <v>542</v>
      </c>
      <c r="BA27" s="1" t="s">
        <v>827</v>
      </c>
      <c r="BC27" s="15" t="s">
        <v>53</v>
      </c>
      <c r="BD27" s="4" t="s">
        <v>53</v>
      </c>
    </row>
    <row r="28" spans="2:56">
      <c r="B28" s="1">
        <v>0</v>
      </c>
      <c r="C28" s="1">
        <v>22</v>
      </c>
      <c r="D28" s="1" t="s">
        <v>53</v>
      </c>
      <c r="E28" s="4" t="s">
        <v>53</v>
      </c>
      <c r="F28" s="4" t="s">
        <v>53</v>
      </c>
      <c r="G28" s="13" t="s">
        <v>53</v>
      </c>
      <c r="H28" s="13" t="s">
        <v>53</v>
      </c>
      <c r="I28" s="13" t="s">
        <v>53</v>
      </c>
      <c r="J28" s="4" t="s">
        <v>53</v>
      </c>
      <c r="K28" s="4" t="s">
        <v>53</v>
      </c>
      <c r="L28" s="4" t="s">
        <v>53</v>
      </c>
      <c r="M28" s="4" t="s">
        <v>53</v>
      </c>
      <c r="N28" s="4" t="s">
        <v>53</v>
      </c>
      <c r="O28" s="4" t="s">
        <v>53</v>
      </c>
      <c r="P28" s="405" t="s">
        <v>53</v>
      </c>
      <c r="Q28" s="4" t="s">
        <v>53</v>
      </c>
      <c r="R28" s="4" t="s">
        <v>53</v>
      </c>
      <c r="S28" s="4" t="s">
        <v>53</v>
      </c>
      <c r="T28" s="4" t="s">
        <v>53</v>
      </c>
      <c r="U28" s="4" t="s">
        <v>53</v>
      </c>
      <c r="V28" s="4" t="s">
        <v>53</v>
      </c>
      <c r="W28" s="4" t="s">
        <v>53</v>
      </c>
      <c r="X28" s="4" t="s">
        <v>53</v>
      </c>
      <c r="Y28" s="4" t="s">
        <v>53</v>
      </c>
      <c r="Z28" s="1" t="s">
        <v>53</v>
      </c>
      <c r="AA28" s="15" t="s">
        <v>53</v>
      </c>
      <c r="AB28" s="4"/>
      <c r="AC28" s="4"/>
      <c r="AD28" s="4"/>
      <c r="AE28" s="4"/>
      <c r="AF28" s="4"/>
      <c r="AG28" s="1">
        <v>0</v>
      </c>
      <c r="AH28" s="4" t="s">
        <v>53</v>
      </c>
      <c r="AK28" s="4" t="s">
        <v>53</v>
      </c>
      <c r="AL28" s="4" t="s">
        <v>53</v>
      </c>
      <c r="AM28" s="4" t="s">
        <v>53</v>
      </c>
      <c r="AN28" s="4" t="s">
        <v>53</v>
      </c>
      <c r="AO28" s="1" t="s">
        <v>53</v>
      </c>
      <c r="AP28" s="1" t="s">
        <v>53</v>
      </c>
      <c r="AR28" s="1" t="s">
        <v>53</v>
      </c>
      <c r="AW28" s="406">
        <v>22</v>
      </c>
      <c r="AX28" s="1" t="s">
        <v>53</v>
      </c>
      <c r="AY28" s="19" t="s">
        <v>53</v>
      </c>
      <c r="AZ28" s="406" t="s">
        <v>542</v>
      </c>
      <c r="BA28" s="1" t="s">
        <v>827</v>
      </c>
      <c r="BC28" s="15" t="s">
        <v>53</v>
      </c>
      <c r="BD28" s="4" t="s">
        <v>53</v>
      </c>
    </row>
    <row r="29" spans="2:56">
      <c r="B29" s="1">
        <v>0</v>
      </c>
      <c r="C29" s="1">
        <v>23</v>
      </c>
      <c r="D29" s="1" t="s">
        <v>53</v>
      </c>
      <c r="E29" s="4" t="s">
        <v>53</v>
      </c>
      <c r="F29" s="4" t="s">
        <v>53</v>
      </c>
      <c r="G29" s="13" t="s">
        <v>53</v>
      </c>
      <c r="H29" s="13" t="s">
        <v>53</v>
      </c>
      <c r="I29" s="13" t="s">
        <v>53</v>
      </c>
      <c r="J29" s="4" t="s">
        <v>53</v>
      </c>
      <c r="K29" s="4" t="s">
        <v>53</v>
      </c>
      <c r="L29" s="4" t="s">
        <v>53</v>
      </c>
      <c r="M29" s="4" t="s">
        <v>53</v>
      </c>
      <c r="N29" s="4" t="s">
        <v>53</v>
      </c>
      <c r="O29" s="4" t="s">
        <v>53</v>
      </c>
      <c r="P29" s="405" t="s">
        <v>53</v>
      </c>
      <c r="Q29" s="4" t="s">
        <v>53</v>
      </c>
      <c r="R29" s="4" t="s">
        <v>53</v>
      </c>
      <c r="S29" s="4" t="s">
        <v>53</v>
      </c>
      <c r="T29" s="4" t="s">
        <v>53</v>
      </c>
      <c r="U29" s="4" t="s">
        <v>53</v>
      </c>
      <c r="V29" s="4" t="s">
        <v>53</v>
      </c>
      <c r="W29" s="4" t="s">
        <v>53</v>
      </c>
      <c r="X29" s="4" t="s">
        <v>53</v>
      </c>
      <c r="Y29" s="4" t="s">
        <v>53</v>
      </c>
      <c r="Z29" s="1" t="s">
        <v>53</v>
      </c>
      <c r="AA29" s="15" t="s">
        <v>53</v>
      </c>
      <c r="AB29" s="4"/>
      <c r="AC29" s="4"/>
      <c r="AD29" s="4"/>
      <c r="AE29" s="4"/>
      <c r="AF29" s="4"/>
      <c r="AG29" s="1">
        <v>0</v>
      </c>
      <c r="AH29" s="4" t="s">
        <v>53</v>
      </c>
      <c r="AK29" s="4" t="s">
        <v>53</v>
      </c>
      <c r="AL29" s="4" t="s">
        <v>53</v>
      </c>
      <c r="AM29" s="4" t="s">
        <v>53</v>
      </c>
      <c r="AN29" s="4" t="s">
        <v>53</v>
      </c>
      <c r="AO29" s="1" t="s">
        <v>53</v>
      </c>
      <c r="AP29" s="1" t="s">
        <v>53</v>
      </c>
      <c r="AS29" s="1" t="s">
        <v>53</v>
      </c>
      <c r="AW29" s="406">
        <v>23</v>
      </c>
      <c r="AX29" s="1" t="s">
        <v>53</v>
      </c>
      <c r="AY29" s="19" t="s">
        <v>53</v>
      </c>
      <c r="AZ29" s="406" t="s">
        <v>542</v>
      </c>
      <c r="BA29" s="1" t="s">
        <v>827</v>
      </c>
      <c r="BC29" s="15" t="s">
        <v>53</v>
      </c>
      <c r="BD29" s="4" t="s">
        <v>53</v>
      </c>
    </row>
    <row r="30" spans="2:56">
      <c r="B30" s="1">
        <v>0</v>
      </c>
      <c r="C30" s="1">
        <v>24</v>
      </c>
      <c r="D30" s="1" t="s">
        <v>53</v>
      </c>
      <c r="E30" s="4" t="s">
        <v>53</v>
      </c>
      <c r="F30" s="4" t="s">
        <v>53</v>
      </c>
      <c r="G30" s="13" t="s">
        <v>53</v>
      </c>
      <c r="H30" s="13" t="s">
        <v>53</v>
      </c>
      <c r="I30" s="13" t="s">
        <v>53</v>
      </c>
      <c r="J30" s="4" t="s">
        <v>53</v>
      </c>
      <c r="K30" s="4" t="s">
        <v>53</v>
      </c>
      <c r="L30" s="4" t="s">
        <v>53</v>
      </c>
      <c r="M30" s="4" t="s">
        <v>53</v>
      </c>
      <c r="N30" s="4" t="s">
        <v>53</v>
      </c>
      <c r="O30" s="4" t="s">
        <v>53</v>
      </c>
      <c r="P30" s="405" t="s">
        <v>53</v>
      </c>
      <c r="Q30" s="4" t="s">
        <v>53</v>
      </c>
      <c r="R30" s="4" t="s">
        <v>53</v>
      </c>
      <c r="S30" s="4" t="s">
        <v>53</v>
      </c>
      <c r="T30" s="4" t="s">
        <v>53</v>
      </c>
      <c r="U30" s="4" t="s">
        <v>53</v>
      </c>
      <c r="V30" s="4" t="s">
        <v>53</v>
      </c>
      <c r="W30" s="4" t="s">
        <v>53</v>
      </c>
      <c r="X30" s="4" t="s">
        <v>53</v>
      </c>
      <c r="Y30" s="4" t="s">
        <v>53</v>
      </c>
      <c r="Z30" s="1" t="s">
        <v>53</v>
      </c>
      <c r="AA30" s="15" t="s">
        <v>53</v>
      </c>
      <c r="AB30" s="4"/>
      <c r="AC30" s="4"/>
      <c r="AD30" s="4"/>
      <c r="AE30" s="4"/>
      <c r="AF30" s="4"/>
      <c r="AG30" s="1">
        <v>0</v>
      </c>
      <c r="AH30" s="4" t="s">
        <v>53</v>
      </c>
      <c r="AK30" s="4" t="s">
        <v>53</v>
      </c>
      <c r="AL30" s="4" t="s">
        <v>53</v>
      </c>
      <c r="AM30" s="4" t="s">
        <v>53</v>
      </c>
      <c r="AN30" s="4" t="s">
        <v>53</v>
      </c>
      <c r="AO30" s="1" t="s">
        <v>53</v>
      </c>
      <c r="AP30" s="1" t="s">
        <v>53</v>
      </c>
      <c r="AT30" s="1" t="s">
        <v>53</v>
      </c>
      <c r="AW30" s="406">
        <v>24</v>
      </c>
      <c r="AX30" s="1" t="s">
        <v>53</v>
      </c>
      <c r="AY30" s="19" t="s">
        <v>53</v>
      </c>
      <c r="AZ30" s="406" t="s">
        <v>542</v>
      </c>
      <c r="BA30" s="1" t="s">
        <v>827</v>
      </c>
      <c r="BC30" s="15" t="s">
        <v>53</v>
      </c>
      <c r="BD30" s="4" t="s">
        <v>53</v>
      </c>
    </row>
    <row r="31" spans="2:56">
      <c r="B31" s="1">
        <v>0</v>
      </c>
      <c r="C31" s="1">
        <v>25</v>
      </c>
      <c r="D31" s="1" t="s">
        <v>53</v>
      </c>
      <c r="E31" s="4" t="s">
        <v>53</v>
      </c>
      <c r="F31" s="4" t="s">
        <v>53</v>
      </c>
      <c r="G31" s="13" t="s">
        <v>53</v>
      </c>
      <c r="H31" s="13" t="s">
        <v>53</v>
      </c>
      <c r="I31" s="13" t="s">
        <v>53</v>
      </c>
      <c r="J31" s="4" t="s">
        <v>53</v>
      </c>
      <c r="K31" s="4" t="s">
        <v>53</v>
      </c>
      <c r="L31" s="4" t="s">
        <v>53</v>
      </c>
      <c r="M31" s="4" t="s">
        <v>53</v>
      </c>
      <c r="N31" s="4" t="s">
        <v>53</v>
      </c>
      <c r="O31" s="4" t="s">
        <v>53</v>
      </c>
      <c r="P31" s="405" t="s">
        <v>53</v>
      </c>
      <c r="Q31" s="4" t="s">
        <v>53</v>
      </c>
      <c r="R31" s="4" t="s">
        <v>53</v>
      </c>
      <c r="S31" s="4" t="s">
        <v>53</v>
      </c>
      <c r="T31" s="4" t="s">
        <v>53</v>
      </c>
      <c r="U31" s="4" t="s">
        <v>53</v>
      </c>
      <c r="V31" s="4" t="s">
        <v>53</v>
      </c>
      <c r="W31" s="4" t="s">
        <v>53</v>
      </c>
      <c r="X31" s="4" t="s">
        <v>53</v>
      </c>
      <c r="Y31" s="4" t="s">
        <v>53</v>
      </c>
      <c r="Z31" s="1" t="s">
        <v>53</v>
      </c>
      <c r="AA31" s="15" t="s">
        <v>53</v>
      </c>
      <c r="AB31" s="4"/>
      <c r="AC31" s="4"/>
      <c r="AD31" s="4"/>
      <c r="AE31" s="4"/>
      <c r="AF31" s="4"/>
      <c r="AG31" s="1">
        <v>0</v>
      </c>
      <c r="AH31" s="4" t="s">
        <v>53</v>
      </c>
      <c r="AK31" s="4" t="s">
        <v>53</v>
      </c>
      <c r="AL31" s="4" t="s">
        <v>53</v>
      </c>
      <c r="AM31" s="4" t="s">
        <v>53</v>
      </c>
      <c r="AN31" s="4" t="s">
        <v>53</v>
      </c>
      <c r="AO31" s="1" t="s">
        <v>53</v>
      </c>
      <c r="AP31" s="1" t="s">
        <v>53</v>
      </c>
      <c r="AR31" s="1" t="s">
        <v>53</v>
      </c>
      <c r="AW31" s="406">
        <v>25</v>
      </c>
      <c r="AX31" s="1" t="s">
        <v>53</v>
      </c>
      <c r="AY31" s="19" t="s">
        <v>53</v>
      </c>
      <c r="AZ31" s="406" t="s">
        <v>542</v>
      </c>
      <c r="BA31" s="1" t="s">
        <v>827</v>
      </c>
      <c r="BC31" s="15" t="s">
        <v>53</v>
      </c>
      <c r="BD31" s="4" t="s">
        <v>53</v>
      </c>
    </row>
    <row r="32" spans="2:56">
      <c r="B32" s="1">
        <v>0</v>
      </c>
      <c r="C32" s="1">
        <v>26</v>
      </c>
      <c r="D32" s="1" t="s">
        <v>53</v>
      </c>
      <c r="E32" s="4" t="s">
        <v>53</v>
      </c>
      <c r="F32" s="4" t="s">
        <v>53</v>
      </c>
      <c r="G32" s="13" t="s">
        <v>53</v>
      </c>
      <c r="H32" s="13" t="s">
        <v>53</v>
      </c>
      <c r="I32" s="13" t="s">
        <v>53</v>
      </c>
      <c r="J32" s="4" t="s">
        <v>53</v>
      </c>
      <c r="K32" s="4" t="s">
        <v>53</v>
      </c>
      <c r="L32" s="4" t="s">
        <v>53</v>
      </c>
      <c r="M32" s="4" t="s">
        <v>53</v>
      </c>
      <c r="N32" s="4" t="s">
        <v>53</v>
      </c>
      <c r="O32" s="4" t="s">
        <v>53</v>
      </c>
      <c r="P32" s="405" t="s">
        <v>53</v>
      </c>
      <c r="Q32" s="4" t="s">
        <v>53</v>
      </c>
      <c r="R32" s="4" t="s">
        <v>53</v>
      </c>
      <c r="S32" s="4" t="s">
        <v>53</v>
      </c>
      <c r="T32" s="4" t="s">
        <v>53</v>
      </c>
      <c r="U32" s="4" t="s">
        <v>53</v>
      </c>
      <c r="V32" s="4" t="s">
        <v>53</v>
      </c>
      <c r="W32" s="4" t="s">
        <v>53</v>
      </c>
      <c r="X32" s="4" t="s">
        <v>53</v>
      </c>
      <c r="Y32" s="4" t="s">
        <v>53</v>
      </c>
      <c r="Z32" s="1" t="s">
        <v>53</v>
      </c>
      <c r="AA32" s="15" t="s">
        <v>53</v>
      </c>
      <c r="AB32" s="4"/>
      <c r="AC32" s="4"/>
      <c r="AD32" s="4"/>
      <c r="AE32" s="4"/>
      <c r="AF32" s="4"/>
      <c r="AG32" s="1">
        <v>0</v>
      </c>
      <c r="AH32" s="4" t="s">
        <v>53</v>
      </c>
      <c r="AK32" s="4" t="s">
        <v>53</v>
      </c>
      <c r="AL32" s="4" t="s">
        <v>53</v>
      </c>
      <c r="AM32" s="4" t="s">
        <v>53</v>
      </c>
      <c r="AN32" s="4" t="s">
        <v>53</v>
      </c>
      <c r="AO32" s="1" t="s">
        <v>53</v>
      </c>
      <c r="AP32" s="1" t="s">
        <v>53</v>
      </c>
      <c r="AS32" s="1" t="s">
        <v>53</v>
      </c>
      <c r="AW32" s="406">
        <v>26</v>
      </c>
      <c r="AX32" s="1" t="s">
        <v>53</v>
      </c>
      <c r="AY32" s="19" t="s">
        <v>53</v>
      </c>
      <c r="AZ32" s="406" t="s">
        <v>542</v>
      </c>
      <c r="BA32" s="1" t="s">
        <v>827</v>
      </c>
      <c r="BC32" s="15" t="s">
        <v>53</v>
      </c>
      <c r="BD32" s="4" t="s">
        <v>53</v>
      </c>
    </row>
    <row r="33" spans="2:56">
      <c r="B33" s="1">
        <v>0</v>
      </c>
      <c r="C33" s="1">
        <v>27</v>
      </c>
      <c r="D33" s="1" t="s">
        <v>53</v>
      </c>
      <c r="E33" s="4" t="s">
        <v>53</v>
      </c>
      <c r="F33" s="4" t="s">
        <v>53</v>
      </c>
      <c r="G33" s="13" t="s">
        <v>53</v>
      </c>
      <c r="H33" s="13" t="s">
        <v>53</v>
      </c>
      <c r="I33" s="13" t="s">
        <v>53</v>
      </c>
      <c r="J33" s="4" t="s">
        <v>53</v>
      </c>
      <c r="K33" s="4" t="s">
        <v>53</v>
      </c>
      <c r="L33" s="4" t="s">
        <v>53</v>
      </c>
      <c r="M33" s="4" t="s">
        <v>53</v>
      </c>
      <c r="N33" s="4" t="s">
        <v>53</v>
      </c>
      <c r="O33" s="4" t="s">
        <v>53</v>
      </c>
      <c r="P33" s="405" t="s">
        <v>53</v>
      </c>
      <c r="Q33" s="4" t="s">
        <v>53</v>
      </c>
      <c r="R33" s="4" t="s">
        <v>53</v>
      </c>
      <c r="S33" s="4" t="s">
        <v>53</v>
      </c>
      <c r="T33" s="4" t="s">
        <v>53</v>
      </c>
      <c r="U33" s="4" t="s">
        <v>53</v>
      </c>
      <c r="V33" s="4" t="s">
        <v>53</v>
      </c>
      <c r="W33" s="4" t="s">
        <v>53</v>
      </c>
      <c r="X33" s="4" t="s">
        <v>53</v>
      </c>
      <c r="Y33" s="4" t="s">
        <v>53</v>
      </c>
      <c r="Z33" s="1" t="s">
        <v>53</v>
      </c>
      <c r="AA33" s="15" t="s">
        <v>53</v>
      </c>
      <c r="AB33" s="4"/>
      <c r="AC33" s="4"/>
      <c r="AD33" s="4"/>
      <c r="AE33" s="4"/>
      <c r="AF33" s="4"/>
      <c r="AG33" s="1">
        <v>0</v>
      </c>
      <c r="AH33" s="4" t="s">
        <v>53</v>
      </c>
      <c r="AK33" s="4" t="s">
        <v>53</v>
      </c>
      <c r="AL33" s="4" t="s">
        <v>53</v>
      </c>
      <c r="AM33" s="4" t="s">
        <v>53</v>
      </c>
      <c r="AN33" s="4" t="s">
        <v>53</v>
      </c>
      <c r="AO33" s="1" t="s">
        <v>53</v>
      </c>
      <c r="AP33" s="1" t="s">
        <v>53</v>
      </c>
      <c r="AT33" s="1" t="s">
        <v>53</v>
      </c>
      <c r="AW33" s="406">
        <v>27</v>
      </c>
      <c r="AX33" s="1" t="s">
        <v>53</v>
      </c>
      <c r="AY33" s="19" t="s">
        <v>53</v>
      </c>
      <c r="AZ33" s="406" t="s">
        <v>542</v>
      </c>
      <c r="BA33" s="1" t="s">
        <v>827</v>
      </c>
      <c r="BC33" s="15" t="s">
        <v>53</v>
      </c>
      <c r="BD33" s="4" t="s">
        <v>53</v>
      </c>
    </row>
    <row r="34" spans="2:56">
      <c r="B34" s="1">
        <v>0</v>
      </c>
      <c r="C34" s="1">
        <v>28</v>
      </c>
      <c r="D34" s="1" t="s">
        <v>53</v>
      </c>
      <c r="E34" s="4" t="s">
        <v>53</v>
      </c>
      <c r="F34" s="4" t="s">
        <v>53</v>
      </c>
      <c r="G34" s="13" t="s">
        <v>53</v>
      </c>
      <c r="H34" s="13" t="s">
        <v>53</v>
      </c>
      <c r="I34" s="13" t="s">
        <v>53</v>
      </c>
      <c r="J34" s="4" t="s">
        <v>53</v>
      </c>
      <c r="K34" s="4" t="s">
        <v>53</v>
      </c>
      <c r="L34" s="4" t="s">
        <v>53</v>
      </c>
      <c r="M34" s="4" t="s">
        <v>53</v>
      </c>
      <c r="N34" s="4" t="s">
        <v>53</v>
      </c>
      <c r="O34" s="4" t="s">
        <v>53</v>
      </c>
      <c r="P34" s="405" t="s">
        <v>53</v>
      </c>
      <c r="Q34" s="4" t="s">
        <v>53</v>
      </c>
      <c r="R34" s="4" t="s">
        <v>53</v>
      </c>
      <c r="S34" s="4" t="s">
        <v>53</v>
      </c>
      <c r="T34" s="4" t="s">
        <v>53</v>
      </c>
      <c r="U34" s="4" t="s">
        <v>53</v>
      </c>
      <c r="V34" s="4" t="s">
        <v>53</v>
      </c>
      <c r="W34" s="4" t="s">
        <v>53</v>
      </c>
      <c r="X34" s="4" t="s">
        <v>53</v>
      </c>
      <c r="Y34" s="4" t="s">
        <v>53</v>
      </c>
      <c r="Z34" s="1" t="s">
        <v>53</v>
      </c>
      <c r="AA34" s="15" t="s">
        <v>53</v>
      </c>
      <c r="AB34" s="4"/>
      <c r="AC34" s="4"/>
      <c r="AD34" s="4"/>
      <c r="AE34" s="4"/>
      <c r="AF34" s="4"/>
      <c r="AG34" s="1">
        <v>0</v>
      </c>
      <c r="AH34" s="4" t="s">
        <v>53</v>
      </c>
      <c r="AK34" s="4" t="s">
        <v>53</v>
      </c>
      <c r="AL34" s="4" t="s">
        <v>53</v>
      </c>
      <c r="AM34" s="4" t="s">
        <v>53</v>
      </c>
      <c r="AN34" s="4" t="s">
        <v>53</v>
      </c>
      <c r="AO34" s="1" t="s">
        <v>53</v>
      </c>
      <c r="AP34" s="1" t="s">
        <v>53</v>
      </c>
      <c r="AR34" s="1" t="s">
        <v>53</v>
      </c>
      <c r="AW34" s="406">
        <v>28</v>
      </c>
      <c r="AX34" s="1" t="s">
        <v>53</v>
      </c>
      <c r="AY34" s="19" t="s">
        <v>53</v>
      </c>
      <c r="AZ34" s="406" t="s">
        <v>542</v>
      </c>
      <c r="BA34" s="1" t="s">
        <v>827</v>
      </c>
      <c r="BC34" s="15" t="s">
        <v>53</v>
      </c>
      <c r="BD34" s="4" t="s">
        <v>53</v>
      </c>
    </row>
    <row r="35" spans="2:56">
      <c r="B35" s="1">
        <v>0</v>
      </c>
      <c r="C35" s="1">
        <v>29</v>
      </c>
      <c r="D35" s="1" t="s">
        <v>53</v>
      </c>
      <c r="E35" s="4" t="s">
        <v>53</v>
      </c>
      <c r="F35" s="4" t="s">
        <v>53</v>
      </c>
      <c r="G35" s="13" t="s">
        <v>53</v>
      </c>
      <c r="H35" s="13" t="s">
        <v>53</v>
      </c>
      <c r="I35" s="13" t="s">
        <v>53</v>
      </c>
      <c r="J35" s="4" t="s">
        <v>53</v>
      </c>
      <c r="K35" s="4" t="s">
        <v>53</v>
      </c>
      <c r="L35" s="4" t="s">
        <v>53</v>
      </c>
      <c r="M35" s="4" t="s">
        <v>53</v>
      </c>
      <c r="N35" s="4" t="s">
        <v>53</v>
      </c>
      <c r="O35" s="4" t="s">
        <v>53</v>
      </c>
      <c r="P35" s="405" t="s">
        <v>53</v>
      </c>
      <c r="Q35" s="4" t="s">
        <v>53</v>
      </c>
      <c r="R35" s="4" t="s">
        <v>53</v>
      </c>
      <c r="S35" s="4" t="s">
        <v>53</v>
      </c>
      <c r="T35" s="4" t="s">
        <v>53</v>
      </c>
      <c r="U35" s="4" t="s">
        <v>53</v>
      </c>
      <c r="V35" s="4" t="s">
        <v>53</v>
      </c>
      <c r="W35" s="4" t="s">
        <v>53</v>
      </c>
      <c r="X35" s="4" t="s">
        <v>53</v>
      </c>
      <c r="Y35" s="4" t="s">
        <v>53</v>
      </c>
      <c r="Z35" s="1" t="s">
        <v>53</v>
      </c>
      <c r="AA35" s="15" t="s">
        <v>53</v>
      </c>
      <c r="AB35" s="4"/>
      <c r="AC35" s="4"/>
      <c r="AD35" s="4"/>
      <c r="AE35" s="4"/>
      <c r="AF35" s="4"/>
      <c r="AG35" s="1">
        <v>0</v>
      </c>
      <c r="AH35" s="4" t="s">
        <v>53</v>
      </c>
      <c r="AK35" s="4" t="s">
        <v>53</v>
      </c>
      <c r="AL35" s="4" t="s">
        <v>53</v>
      </c>
      <c r="AM35" s="4" t="s">
        <v>53</v>
      </c>
      <c r="AN35" s="4" t="s">
        <v>53</v>
      </c>
      <c r="AO35" s="1" t="s">
        <v>53</v>
      </c>
      <c r="AP35" s="1" t="s">
        <v>53</v>
      </c>
      <c r="AS35" s="1" t="s">
        <v>53</v>
      </c>
      <c r="AW35" s="406">
        <v>29</v>
      </c>
      <c r="AX35" s="1" t="s">
        <v>53</v>
      </c>
      <c r="AY35" s="19" t="s">
        <v>53</v>
      </c>
      <c r="AZ35" s="406" t="s">
        <v>542</v>
      </c>
      <c r="BA35" s="1" t="s">
        <v>827</v>
      </c>
      <c r="BC35" s="15" t="s">
        <v>53</v>
      </c>
      <c r="BD35" s="4" t="s">
        <v>53</v>
      </c>
    </row>
    <row r="36" spans="2:56">
      <c r="B36" s="1">
        <v>0</v>
      </c>
      <c r="C36" s="1">
        <v>30</v>
      </c>
      <c r="D36" s="1" t="s">
        <v>53</v>
      </c>
      <c r="E36" s="4" t="s">
        <v>53</v>
      </c>
      <c r="F36" s="4" t="s">
        <v>53</v>
      </c>
      <c r="G36" s="13" t="s">
        <v>53</v>
      </c>
      <c r="H36" s="13" t="s">
        <v>53</v>
      </c>
      <c r="I36" s="13" t="s">
        <v>53</v>
      </c>
      <c r="J36" s="4" t="s">
        <v>53</v>
      </c>
      <c r="K36" s="4" t="s">
        <v>53</v>
      </c>
      <c r="L36" s="4" t="s">
        <v>53</v>
      </c>
      <c r="M36" s="4" t="s">
        <v>53</v>
      </c>
      <c r="N36" s="4" t="s">
        <v>53</v>
      </c>
      <c r="O36" s="4" t="s">
        <v>53</v>
      </c>
      <c r="P36" s="405" t="s">
        <v>53</v>
      </c>
      <c r="Q36" s="4" t="s">
        <v>53</v>
      </c>
      <c r="R36" s="4" t="s">
        <v>53</v>
      </c>
      <c r="S36" s="4" t="s">
        <v>53</v>
      </c>
      <c r="T36" s="4" t="s">
        <v>53</v>
      </c>
      <c r="U36" s="4" t="s">
        <v>53</v>
      </c>
      <c r="V36" s="4" t="s">
        <v>53</v>
      </c>
      <c r="W36" s="4" t="s">
        <v>53</v>
      </c>
      <c r="X36" s="4" t="s">
        <v>53</v>
      </c>
      <c r="Y36" s="4" t="s">
        <v>53</v>
      </c>
      <c r="Z36" s="1" t="s">
        <v>53</v>
      </c>
      <c r="AA36" s="15" t="s">
        <v>53</v>
      </c>
      <c r="AB36" s="4"/>
      <c r="AC36" s="4"/>
      <c r="AD36" s="4"/>
      <c r="AE36" s="4"/>
      <c r="AF36" s="4"/>
      <c r="AG36" s="1">
        <v>0</v>
      </c>
      <c r="AH36" s="4" t="s">
        <v>53</v>
      </c>
      <c r="AK36" s="4" t="s">
        <v>53</v>
      </c>
      <c r="AL36" s="4" t="s">
        <v>53</v>
      </c>
      <c r="AM36" s="4" t="s">
        <v>53</v>
      </c>
      <c r="AN36" s="4" t="s">
        <v>53</v>
      </c>
      <c r="AO36" s="1" t="s">
        <v>53</v>
      </c>
      <c r="AP36" s="1" t="s">
        <v>53</v>
      </c>
      <c r="AT36" s="1" t="s">
        <v>53</v>
      </c>
      <c r="AW36" s="406">
        <v>30</v>
      </c>
      <c r="AX36" s="1" t="s">
        <v>53</v>
      </c>
      <c r="AY36" s="19" t="s">
        <v>53</v>
      </c>
      <c r="AZ36" s="406" t="s">
        <v>542</v>
      </c>
      <c r="BA36" s="1" t="s">
        <v>827</v>
      </c>
      <c r="BC36" s="15" t="s">
        <v>53</v>
      </c>
      <c r="BD36" s="4" t="s">
        <v>53</v>
      </c>
    </row>
    <row r="38" spans="2:56">
      <c r="Q38" s="3">
        <v>9000</v>
      </c>
      <c r="R38" s="3">
        <v>12</v>
      </c>
      <c r="S38" s="3">
        <v>6</v>
      </c>
      <c r="T38" s="3">
        <v>6</v>
      </c>
      <c r="U38" s="3">
        <v>48</v>
      </c>
      <c r="V38" s="3">
        <v>6</v>
      </c>
      <c r="W38" s="3">
        <v>30</v>
      </c>
      <c r="X38" s="3">
        <v>6</v>
      </c>
      <c r="Y38" s="3">
        <v>15</v>
      </c>
      <c r="Z38" s="3">
        <v>48</v>
      </c>
      <c r="AA38" s="3">
        <v>24000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24000</v>
      </c>
      <c r="AH38" s="6">
        <v>7200</v>
      </c>
      <c r="AK38" s="3">
        <v>0</v>
      </c>
      <c r="AL38" s="3">
        <v>0</v>
      </c>
      <c r="AM38" s="3">
        <v>0</v>
      </c>
      <c r="AN38" s="3">
        <v>0</v>
      </c>
      <c r="AO38" s="3">
        <v>30</v>
      </c>
      <c r="AP38" s="3">
        <v>15</v>
      </c>
      <c r="AR38" s="3">
        <v>2400</v>
      </c>
      <c r="AS38" s="3">
        <v>2400</v>
      </c>
      <c r="AT38" s="3">
        <v>2400</v>
      </c>
    </row>
    <row r="39" spans="2:56">
      <c r="D39" s="19">
        <v>0</v>
      </c>
      <c r="Q39" s="5">
        <v>27000</v>
      </c>
      <c r="R39" s="5">
        <v>18000</v>
      </c>
      <c r="S39" s="5">
        <v>9000</v>
      </c>
      <c r="U39" s="2">
        <v>48000</v>
      </c>
      <c r="W39" s="5">
        <v>30000</v>
      </c>
      <c r="Y39" s="5">
        <v>15000</v>
      </c>
      <c r="AO39" s="1">
        <v>30000</v>
      </c>
    </row>
    <row r="40" spans="2:56">
      <c r="G40" s="1"/>
      <c r="Q40" s="2"/>
      <c r="R40" s="3" t="s">
        <v>828</v>
      </c>
      <c r="S40" s="3" t="s">
        <v>829</v>
      </c>
      <c r="Y40" s="12"/>
      <c r="AF40" s="3">
        <v>24000</v>
      </c>
    </row>
    <row r="41" spans="2:56">
      <c r="G41" s="1"/>
      <c r="Q41" s="1" t="s">
        <v>830</v>
      </c>
      <c r="R41" s="1" t="s">
        <v>191</v>
      </c>
      <c r="S41" s="1" t="s">
        <v>191</v>
      </c>
      <c r="T41" s="1" t="s">
        <v>158</v>
      </c>
      <c r="U41" s="1">
        <v>8000</v>
      </c>
      <c r="W41" s="1">
        <v>5000</v>
      </c>
      <c r="Y41" s="12"/>
      <c r="AD41" s="1">
        <v>0</v>
      </c>
      <c r="AF41" s="5">
        <v>24000</v>
      </c>
    </row>
    <row r="42" spans="2:56">
      <c r="G42" s="1"/>
      <c r="Q42" s="1" t="s">
        <v>189</v>
      </c>
      <c r="R42" s="1" t="s">
        <v>190</v>
      </c>
      <c r="S42" s="1" t="s">
        <v>192</v>
      </c>
      <c r="U42" s="1">
        <v>4</v>
      </c>
      <c r="W42" s="1">
        <v>4</v>
      </c>
      <c r="Y42" s="12" t="e">
        <v>#DIV/0!</v>
      </c>
      <c r="AD42" s="1">
        <v>2500</v>
      </c>
    </row>
    <row r="43" spans="2:56">
      <c r="G43" s="1"/>
      <c r="Q43" s="1" t="s">
        <v>188</v>
      </c>
      <c r="U43" s="1">
        <v>32000</v>
      </c>
      <c r="W43" s="1">
        <v>20000</v>
      </c>
      <c r="Y43" s="12"/>
      <c r="AD43" s="1">
        <v>6</v>
      </c>
    </row>
    <row r="44" spans="2:56">
      <c r="G44" s="1"/>
      <c r="Q44" s="5" t="s">
        <v>831</v>
      </c>
      <c r="R44" s="5" t="s">
        <v>832</v>
      </c>
      <c r="S44" s="5" t="s">
        <v>833</v>
      </c>
      <c r="T44" s="5" t="s">
        <v>834</v>
      </c>
      <c r="U44" s="2"/>
      <c r="W44" s="2"/>
      <c r="Y44" s="12"/>
      <c r="AD44" s="1">
        <v>15000</v>
      </c>
    </row>
    <row r="45" spans="2:56">
      <c r="G45" s="1"/>
      <c r="U45" s="5">
        <v>32000</v>
      </c>
      <c r="W45" s="5">
        <v>20000</v>
      </c>
      <c r="Y45" s="12"/>
      <c r="AR45" s="3">
        <v>2400</v>
      </c>
    </row>
    <row r="46" spans="2:56">
      <c r="G46" s="1"/>
      <c r="Y46" s="12"/>
    </row>
    <row r="47" spans="2:56">
      <c r="G47" s="1"/>
      <c r="Y47" s="12"/>
      <c r="AD47" s="1" t="s">
        <v>636</v>
      </c>
      <c r="AF47" s="12" t="s">
        <v>829</v>
      </c>
      <c r="AG47" s="1" t="s">
        <v>637</v>
      </c>
      <c r="AI47" s="1" t="s">
        <v>835</v>
      </c>
    </row>
    <row r="48" spans="2:56">
      <c r="G48" s="1"/>
      <c r="Y48" s="12"/>
    </row>
    <row r="49" spans="1:38">
      <c r="G49" s="1"/>
      <c r="S49" s="1" t="s">
        <v>617</v>
      </c>
      <c r="T49" s="1">
        <v>6</v>
      </c>
      <c r="Y49" s="12"/>
      <c r="AG49" s="1" t="s">
        <v>617</v>
      </c>
      <c r="AH49" s="1">
        <v>6</v>
      </c>
    </row>
    <row r="50" spans="1:38">
      <c r="G50" s="1"/>
      <c r="S50" s="1" t="s">
        <v>618</v>
      </c>
      <c r="T50" s="3">
        <v>6</v>
      </c>
      <c r="Y50" s="12"/>
      <c r="AG50" s="1" t="s">
        <v>628</v>
      </c>
      <c r="AH50" s="1">
        <v>6</v>
      </c>
    </row>
    <row r="51" spans="1:38">
      <c r="G51" s="1"/>
      <c r="Y51" s="12"/>
    </row>
    <row r="52" spans="1:38">
      <c r="G52" s="1"/>
      <c r="S52" s="1">
        <v>1</v>
      </c>
      <c r="T52" s="1">
        <v>1</v>
      </c>
      <c r="Y52" s="12"/>
      <c r="AG52" s="1">
        <v>1</v>
      </c>
      <c r="AH52" s="1">
        <v>1</v>
      </c>
      <c r="AL52" s="1" t="s">
        <v>619</v>
      </c>
    </row>
    <row r="53" spans="1:38">
      <c r="G53" s="1"/>
      <c r="S53" s="1">
        <v>2</v>
      </c>
      <c r="T53" s="1">
        <v>1</v>
      </c>
      <c r="Y53" s="12"/>
      <c r="AG53" s="1">
        <v>2</v>
      </c>
      <c r="AH53" s="1">
        <v>1</v>
      </c>
      <c r="AK53" s="1">
        <v>6</v>
      </c>
      <c r="AL53" s="12" t="s">
        <v>829</v>
      </c>
    </row>
    <row r="54" spans="1:38">
      <c r="G54" s="1"/>
      <c r="S54" s="1">
        <v>3</v>
      </c>
      <c r="T54" s="1">
        <v>1</v>
      </c>
      <c r="W54" s="1" t="s">
        <v>619</v>
      </c>
      <c r="Y54" s="12"/>
      <c r="AG54" s="1">
        <v>3</v>
      </c>
      <c r="AH54" s="1">
        <v>1</v>
      </c>
      <c r="AL54" s="1" t="s">
        <v>629</v>
      </c>
    </row>
    <row r="55" spans="1:38">
      <c r="G55" s="1"/>
      <c r="S55" s="1">
        <v>4</v>
      </c>
      <c r="T55" s="1">
        <v>1</v>
      </c>
      <c r="V55" s="1">
        <v>6</v>
      </c>
      <c r="W55" s="12" t="s">
        <v>829</v>
      </c>
      <c r="Y55" s="12"/>
      <c r="AG55" s="1">
        <v>4</v>
      </c>
      <c r="AH55" s="1">
        <v>1</v>
      </c>
      <c r="AL55" s="1" t="s">
        <v>630</v>
      </c>
    </row>
    <row r="56" spans="1:38">
      <c r="G56" s="1"/>
      <c r="S56" s="1">
        <v>5</v>
      </c>
      <c r="T56" s="1">
        <v>1</v>
      </c>
      <c r="W56" s="1" t="s">
        <v>620</v>
      </c>
      <c r="Y56" s="12"/>
      <c r="AG56" s="1">
        <v>5</v>
      </c>
      <c r="AH56" s="1">
        <v>1</v>
      </c>
    </row>
    <row r="57" spans="1:38">
      <c r="D57" s="1">
        <v>0</v>
      </c>
      <c r="G57" s="1"/>
      <c r="S57" s="1">
        <v>6</v>
      </c>
      <c r="T57" s="1">
        <v>1</v>
      </c>
      <c r="Y57" s="12"/>
      <c r="AG57" s="1">
        <v>6</v>
      </c>
      <c r="AH57" s="1">
        <v>1</v>
      </c>
      <c r="AL57" s="302" t="s">
        <v>836</v>
      </c>
    </row>
    <row r="58" spans="1:38">
      <c r="G58" s="1"/>
      <c r="S58" s="1">
        <v>7</v>
      </c>
      <c r="T58" s="1">
        <v>0</v>
      </c>
      <c r="Y58" s="12"/>
      <c r="AG58" s="1">
        <v>7</v>
      </c>
      <c r="AH58" s="1">
        <v>0</v>
      </c>
      <c r="AL58" s="302" t="s">
        <v>630</v>
      </c>
    </row>
    <row r="59" spans="1:38">
      <c r="G59" s="1"/>
      <c r="S59" s="1">
        <v>8</v>
      </c>
      <c r="T59" s="1">
        <v>0</v>
      </c>
      <c r="W59" s="302" t="s">
        <v>837</v>
      </c>
      <c r="Y59" s="12"/>
      <c r="AG59" s="1">
        <v>8</v>
      </c>
      <c r="AH59" s="1">
        <v>0</v>
      </c>
      <c r="AL59" s="2"/>
    </row>
    <row r="60" spans="1:38">
      <c r="C60" s="1" t="s">
        <v>678</v>
      </c>
      <c r="G60" s="1"/>
      <c r="S60" s="1">
        <v>9</v>
      </c>
      <c r="T60" s="1">
        <v>0</v>
      </c>
      <c r="W60" s="302" t="s">
        <v>838</v>
      </c>
      <c r="Y60" s="12"/>
      <c r="AG60" s="1">
        <v>9</v>
      </c>
      <c r="AH60" s="1">
        <v>0</v>
      </c>
      <c r="AL60" s="1" t="s">
        <v>839</v>
      </c>
    </row>
    <row r="61" spans="1:38">
      <c r="G61" s="1"/>
      <c r="S61" s="1">
        <v>10</v>
      </c>
      <c r="T61" s="1">
        <v>0</v>
      </c>
      <c r="Y61" s="12"/>
      <c r="AG61" s="1">
        <v>10</v>
      </c>
      <c r="AH61" s="1">
        <v>0</v>
      </c>
    </row>
    <row r="62" spans="1:38">
      <c r="S62" s="1">
        <v>11</v>
      </c>
      <c r="T62" s="1">
        <v>0</v>
      </c>
      <c r="AG62" s="1">
        <v>11</v>
      </c>
      <c r="AH62" s="1">
        <v>0</v>
      </c>
    </row>
    <row r="63" spans="1:38">
      <c r="B63" s="1">
        <v>6</v>
      </c>
      <c r="S63" s="1">
        <v>12</v>
      </c>
      <c r="T63" s="1">
        <v>0</v>
      </c>
      <c r="W63" s="1" t="s">
        <v>619</v>
      </c>
      <c r="AG63" s="1">
        <v>12</v>
      </c>
      <c r="AH63" s="1">
        <v>0</v>
      </c>
    </row>
    <row r="64" spans="1:38">
      <c r="A64" s="9" t="s">
        <v>105</v>
      </c>
      <c r="B64" s="10">
        <v>7</v>
      </c>
      <c r="C64" s="9" t="s">
        <v>106</v>
      </c>
      <c r="D64" s="9">
        <v>1</v>
      </c>
      <c r="E64" s="9" t="s">
        <v>679</v>
      </c>
      <c r="F64" s="9"/>
      <c r="G64" s="11"/>
      <c r="H64" s="10" t="s">
        <v>840</v>
      </c>
      <c r="I64" s="9"/>
      <c r="J64" s="9"/>
      <c r="L64" s="10">
        <v>98</v>
      </c>
      <c r="S64" s="1">
        <v>13</v>
      </c>
      <c r="T64" s="1">
        <v>0</v>
      </c>
      <c r="V64" s="1">
        <v>6</v>
      </c>
      <c r="W64" s="12" t="s">
        <v>829</v>
      </c>
      <c r="AG64" s="1">
        <v>13</v>
      </c>
      <c r="AH64" s="1">
        <v>0</v>
      </c>
      <c r="AL64" s="1" t="s">
        <v>619</v>
      </c>
    </row>
    <row r="65" spans="1:38">
      <c r="A65" s="9" t="s">
        <v>105</v>
      </c>
      <c r="B65" s="10">
        <v>8</v>
      </c>
      <c r="C65" s="9" t="s">
        <v>106</v>
      </c>
      <c r="D65" s="9">
        <v>2</v>
      </c>
      <c r="E65" s="9" t="s">
        <v>679</v>
      </c>
      <c r="F65" s="9"/>
      <c r="G65" s="11"/>
      <c r="H65" s="10" t="s">
        <v>841</v>
      </c>
      <c r="I65" s="9"/>
      <c r="J65" s="9"/>
      <c r="L65" s="10">
        <v>98</v>
      </c>
      <c r="S65" s="1">
        <v>14</v>
      </c>
      <c r="T65" s="1">
        <v>0</v>
      </c>
      <c r="W65" s="1" t="s">
        <v>622</v>
      </c>
      <c r="AG65" s="1">
        <v>14</v>
      </c>
      <c r="AH65" s="1">
        <v>0</v>
      </c>
      <c r="AK65" s="1">
        <v>6</v>
      </c>
      <c r="AL65" s="12" t="s">
        <v>829</v>
      </c>
    </row>
    <row r="66" spans="1:38">
      <c r="A66" s="9" t="s">
        <v>105</v>
      </c>
      <c r="B66" s="10">
        <v>9</v>
      </c>
      <c r="C66" s="9" t="s">
        <v>106</v>
      </c>
      <c r="D66" s="9">
        <v>3</v>
      </c>
      <c r="E66" s="9" t="s">
        <v>679</v>
      </c>
      <c r="F66" s="9"/>
      <c r="G66" s="11"/>
      <c r="H66" s="10" t="s">
        <v>842</v>
      </c>
      <c r="I66" s="9"/>
      <c r="J66" s="9"/>
      <c r="L66" s="10">
        <v>98</v>
      </c>
      <c r="S66" s="1">
        <v>15</v>
      </c>
      <c r="T66" s="1">
        <v>0</v>
      </c>
      <c r="V66" s="3">
        <v>6</v>
      </c>
      <c r="W66" s="12" t="s">
        <v>829</v>
      </c>
      <c r="AG66" s="1">
        <v>15</v>
      </c>
      <c r="AH66" s="1">
        <v>0</v>
      </c>
      <c r="AL66" s="1" t="s">
        <v>622</v>
      </c>
    </row>
    <row r="67" spans="1:38">
      <c r="A67" s="9" t="s">
        <v>105</v>
      </c>
      <c r="B67" s="10">
        <v>10</v>
      </c>
      <c r="C67" s="9" t="s">
        <v>106</v>
      </c>
      <c r="D67" s="9">
        <v>4</v>
      </c>
      <c r="E67" s="9" t="s">
        <v>679</v>
      </c>
      <c r="F67" s="9"/>
      <c r="G67" s="11"/>
      <c r="H67" s="10" t="s">
        <v>843</v>
      </c>
      <c r="I67" s="9"/>
      <c r="J67" s="9"/>
      <c r="L67" s="10">
        <v>98</v>
      </c>
      <c r="S67" s="1">
        <v>16</v>
      </c>
      <c r="T67" s="1">
        <v>0</v>
      </c>
      <c r="W67" s="1" t="s">
        <v>623</v>
      </c>
      <c r="AG67" s="1">
        <v>16</v>
      </c>
      <c r="AH67" s="1">
        <v>0</v>
      </c>
      <c r="AK67" s="1">
        <v>6</v>
      </c>
      <c r="AL67" s="12" t="s">
        <v>829</v>
      </c>
    </row>
    <row r="68" spans="1:38">
      <c r="A68" s="9" t="s">
        <v>105</v>
      </c>
      <c r="B68" s="10">
        <v>11</v>
      </c>
      <c r="C68" s="9" t="s">
        <v>106</v>
      </c>
      <c r="D68" s="9">
        <v>5</v>
      </c>
      <c r="E68" s="9" t="s">
        <v>679</v>
      </c>
      <c r="F68" s="9"/>
      <c r="G68" s="11"/>
      <c r="H68" s="10" t="s">
        <v>844</v>
      </c>
      <c r="I68" s="9"/>
      <c r="J68" s="9"/>
      <c r="L68" s="10">
        <v>98</v>
      </c>
      <c r="S68" s="1">
        <v>17</v>
      </c>
      <c r="T68" s="1">
        <v>0</v>
      </c>
      <c r="AG68" s="1">
        <v>17</v>
      </c>
      <c r="AH68" s="1">
        <v>0</v>
      </c>
      <c r="AL68" s="1" t="s">
        <v>623</v>
      </c>
    </row>
    <row r="69" spans="1:38">
      <c r="A69" s="9" t="s">
        <v>105</v>
      </c>
      <c r="B69" s="10">
        <v>12</v>
      </c>
      <c r="C69" s="9" t="s">
        <v>106</v>
      </c>
      <c r="D69" s="9">
        <v>6</v>
      </c>
      <c r="E69" s="9" t="s">
        <v>679</v>
      </c>
      <c r="F69" s="9"/>
      <c r="G69" s="11"/>
      <c r="H69" s="10" t="s">
        <v>845</v>
      </c>
      <c r="I69" s="9"/>
      <c r="J69" s="9"/>
      <c r="L69" s="10">
        <v>98</v>
      </c>
      <c r="S69" s="1">
        <v>18</v>
      </c>
      <c r="T69" s="1">
        <v>0</v>
      </c>
      <c r="AG69" s="1">
        <v>18</v>
      </c>
      <c r="AH69" s="1">
        <v>0</v>
      </c>
    </row>
    <row r="70" spans="1:38">
      <c r="A70" s="9" t="s">
        <v>105</v>
      </c>
      <c r="B70" s="10">
        <v>13</v>
      </c>
      <c r="C70" s="9" t="s">
        <v>106</v>
      </c>
      <c r="D70" s="9">
        <v>7</v>
      </c>
      <c r="E70" s="9" t="s">
        <v>679</v>
      </c>
      <c r="F70" s="9"/>
      <c r="G70" s="11"/>
      <c r="H70" s="10" t="s">
        <v>846</v>
      </c>
      <c r="I70" s="9"/>
      <c r="J70" s="9"/>
      <c r="L70" s="10" t="s">
        <v>53</v>
      </c>
      <c r="S70" s="1">
        <v>19</v>
      </c>
      <c r="T70" s="1">
        <v>0</v>
      </c>
      <c r="W70" s="302" t="s">
        <v>847</v>
      </c>
      <c r="AG70" s="1">
        <v>19</v>
      </c>
      <c r="AH70" s="1">
        <v>0</v>
      </c>
    </row>
    <row r="71" spans="1:38">
      <c r="A71" s="9" t="s">
        <v>105</v>
      </c>
      <c r="B71" s="10">
        <v>14</v>
      </c>
      <c r="C71" s="9" t="s">
        <v>106</v>
      </c>
      <c r="D71" s="9">
        <v>8</v>
      </c>
      <c r="E71" s="9" t="s">
        <v>679</v>
      </c>
      <c r="F71" s="9"/>
      <c r="G71" s="11"/>
      <c r="H71" s="10" t="s">
        <v>848</v>
      </c>
      <c r="I71" s="9"/>
      <c r="J71" s="9"/>
      <c r="L71" s="10" t="s">
        <v>53</v>
      </c>
      <c r="S71" s="1">
        <v>20</v>
      </c>
      <c r="T71" s="1">
        <v>0</v>
      </c>
      <c r="W71" s="302" t="s">
        <v>624</v>
      </c>
      <c r="AG71" s="1">
        <v>20</v>
      </c>
      <c r="AH71" s="1">
        <v>0</v>
      </c>
      <c r="AL71" s="302" t="s">
        <v>847</v>
      </c>
    </row>
    <row r="72" spans="1:38">
      <c r="A72" s="9" t="s">
        <v>105</v>
      </c>
      <c r="B72" s="10">
        <v>15</v>
      </c>
      <c r="C72" s="9" t="s">
        <v>106</v>
      </c>
      <c r="D72" s="9">
        <v>9</v>
      </c>
      <c r="E72" s="9" t="s">
        <v>679</v>
      </c>
      <c r="F72" s="9"/>
      <c r="G72" s="11"/>
      <c r="H72" s="10" t="s">
        <v>849</v>
      </c>
      <c r="I72" s="9"/>
      <c r="J72" s="9"/>
      <c r="L72" s="10" t="s">
        <v>53</v>
      </c>
      <c r="S72" s="1">
        <v>21</v>
      </c>
      <c r="T72" s="1">
        <v>0</v>
      </c>
      <c r="W72" s="302"/>
      <c r="AG72" s="1">
        <v>21</v>
      </c>
      <c r="AH72" s="1">
        <v>0</v>
      </c>
      <c r="AL72" s="302" t="s">
        <v>631</v>
      </c>
    </row>
    <row r="73" spans="1:38">
      <c r="A73" s="9" t="s">
        <v>105</v>
      </c>
      <c r="B73" s="10">
        <v>16</v>
      </c>
      <c r="C73" s="9" t="s">
        <v>106</v>
      </c>
      <c r="D73" s="9">
        <v>10</v>
      </c>
      <c r="E73" s="9" t="s">
        <v>679</v>
      </c>
      <c r="F73" s="9"/>
      <c r="G73" s="11"/>
      <c r="H73" s="10" t="s">
        <v>850</v>
      </c>
      <c r="I73" s="9"/>
      <c r="J73" s="9"/>
      <c r="L73" s="10" t="s">
        <v>53</v>
      </c>
      <c r="S73" s="1">
        <v>22</v>
      </c>
      <c r="T73" s="1">
        <v>0</v>
      </c>
      <c r="W73" s="302" t="s">
        <v>625</v>
      </c>
      <c r="AG73" s="1">
        <v>22</v>
      </c>
      <c r="AH73" s="1">
        <v>0</v>
      </c>
      <c r="AL73" s="302" t="s">
        <v>632</v>
      </c>
    </row>
    <row r="74" spans="1:38">
      <c r="A74" s="9" t="s">
        <v>105</v>
      </c>
      <c r="B74" s="10">
        <v>17</v>
      </c>
      <c r="C74" s="9" t="s">
        <v>106</v>
      </c>
      <c r="D74" s="9">
        <v>11</v>
      </c>
      <c r="E74" s="9" t="s">
        <v>679</v>
      </c>
      <c r="F74" s="9"/>
      <c r="G74" s="11"/>
      <c r="H74" s="10" t="s">
        <v>851</v>
      </c>
      <c r="I74" s="9"/>
      <c r="J74" s="9"/>
      <c r="L74" s="10" t="s">
        <v>53</v>
      </c>
      <c r="S74" s="1">
        <v>23</v>
      </c>
      <c r="T74" s="1">
        <v>0</v>
      </c>
      <c r="W74" s="302" t="s">
        <v>852</v>
      </c>
      <c r="AG74" s="1">
        <v>23</v>
      </c>
      <c r="AH74" s="1">
        <v>0</v>
      </c>
      <c r="AL74" s="302"/>
    </row>
    <row r="75" spans="1:38">
      <c r="A75" s="9" t="s">
        <v>105</v>
      </c>
      <c r="B75" s="10">
        <v>18</v>
      </c>
      <c r="C75" s="9" t="s">
        <v>106</v>
      </c>
      <c r="D75" s="9">
        <v>12</v>
      </c>
      <c r="E75" s="9" t="s">
        <v>679</v>
      </c>
      <c r="F75" s="9"/>
      <c r="G75" s="11"/>
      <c r="H75" s="10" t="s">
        <v>853</v>
      </c>
      <c r="I75" s="9"/>
      <c r="J75" s="9"/>
      <c r="L75" s="10" t="s">
        <v>53</v>
      </c>
      <c r="S75" s="1">
        <v>24</v>
      </c>
      <c r="T75" s="1">
        <v>0</v>
      </c>
      <c r="AG75" s="1">
        <v>24</v>
      </c>
      <c r="AH75" s="1">
        <v>0</v>
      </c>
      <c r="AL75" s="302" t="s">
        <v>633</v>
      </c>
    </row>
    <row r="76" spans="1:38">
      <c r="A76" s="9" t="s">
        <v>105</v>
      </c>
      <c r="B76" s="10">
        <v>19</v>
      </c>
      <c r="C76" s="9" t="s">
        <v>106</v>
      </c>
      <c r="D76" s="9">
        <v>13</v>
      </c>
      <c r="E76" s="9" t="s">
        <v>679</v>
      </c>
      <c r="F76" s="9"/>
      <c r="G76" s="11"/>
      <c r="H76" s="10" t="s">
        <v>854</v>
      </c>
      <c r="I76" s="9"/>
      <c r="J76" s="9"/>
      <c r="L76" s="10" t="s">
        <v>53</v>
      </c>
      <c r="S76" s="1">
        <v>25</v>
      </c>
      <c r="T76" s="1">
        <v>0</v>
      </c>
      <c r="AG76" s="1">
        <v>25</v>
      </c>
      <c r="AH76" s="1">
        <v>0</v>
      </c>
      <c r="AL76" s="302" t="s">
        <v>855</v>
      </c>
    </row>
    <row r="77" spans="1:38">
      <c r="A77" s="9" t="s">
        <v>105</v>
      </c>
      <c r="B77" s="10">
        <v>20</v>
      </c>
      <c r="C77" s="9" t="s">
        <v>106</v>
      </c>
      <c r="D77" s="9">
        <v>14</v>
      </c>
      <c r="E77" s="9" t="s">
        <v>679</v>
      </c>
      <c r="F77" s="9"/>
      <c r="G77" s="11"/>
      <c r="H77" s="10" t="s">
        <v>856</v>
      </c>
      <c r="I77" s="9"/>
      <c r="J77" s="9"/>
      <c r="L77" s="10" t="s">
        <v>53</v>
      </c>
      <c r="S77" s="1">
        <v>26</v>
      </c>
      <c r="T77" s="1">
        <v>0</v>
      </c>
      <c r="AG77" s="1">
        <v>26</v>
      </c>
      <c r="AH77" s="1">
        <v>0</v>
      </c>
    </row>
    <row r="78" spans="1:38">
      <c r="A78" s="9" t="s">
        <v>105</v>
      </c>
      <c r="B78" s="10">
        <v>21</v>
      </c>
      <c r="C78" s="9" t="s">
        <v>106</v>
      </c>
      <c r="D78" s="9">
        <v>15</v>
      </c>
      <c r="E78" s="9" t="s">
        <v>679</v>
      </c>
      <c r="F78" s="9"/>
      <c r="G78" s="11"/>
      <c r="H78" s="10" t="s">
        <v>857</v>
      </c>
      <c r="I78" s="9"/>
      <c r="J78" s="9"/>
      <c r="L78" s="10" t="s">
        <v>53</v>
      </c>
      <c r="S78" s="1">
        <v>27</v>
      </c>
      <c r="T78" s="1">
        <v>0</v>
      </c>
      <c r="W78" s="1" t="s">
        <v>619</v>
      </c>
      <c r="AG78" s="1">
        <v>27</v>
      </c>
      <c r="AH78" s="1">
        <v>0</v>
      </c>
    </row>
    <row r="79" spans="1:38">
      <c r="A79" s="9" t="s">
        <v>105</v>
      </c>
      <c r="B79" s="10">
        <v>22</v>
      </c>
      <c r="C79" s="9" t="s">
        <v>106</v>
      </c>
      <c r="D79" s="9">
        <v>16</v>
      </c>
      <c r="E79" s="9" t="s">
        <v>679</v>
      </c>
      <c r="F79" s="9"/>
      <c r="G79" s="11"/>
      <c r="H79" s="10" t="s">
        <v>858</v>
      </c>
      <c r="I79" s="9"/>
      <c r="J79" s="9"/>
      <c r="L79" s="10" t="s">
        <v>53</v>
      </c>
      <c r="S79" s="1">
        <v>28</v>
      </c>
      <c r="T79" s="1">
        <v>0</v>
      </c>
      <c r="V79" s="1">
        <v>6</v>
      </c>
      <c r="W79" s="12" t="s">
        <v>829</v>
      </c>
      <c r="AG79" s="1">
        <v>28</v>
      </c>
      <c r="AH79" s="1">
        <v>0</v>
      </c>
    </row>
    <row r="80" spans="1:38">
      <c r="A80" s="9" t="s">
        <v>105</v>
      </c>
      <c r="B80" s="10">
        <v>23</v>
      </c>
      <c r="C80" s="9" t="s">
        <v>106</v>
      </c>
      <c r="D80" s="9">
        <v>17</v>
      </c>
      <c r="E80" s="9" t="s">
        <v>679</v>
      </c>
      <c r="F80" s="9"/>
      <c r="G80" s="11"/>
      <c r="H80" s="10" t="s">
        <v>859</v>
      </c>
      <c r="I80" s="9"/>
      <c r="J80" s="9"/>
      <c r="L80" s="10" t="s">
        <v>53</v>
      </c>
      <c r="S80" s="1">
        <v>29</v>
      </c>
      <c r="T80" s="1">
        <v>0</v>
      </c>
      <c r="W80" s="1" t="s">
        <v>626</v>
      </c>
      <c r="AG80" s="1">
        <v>29</v>
      </c>
      <c r="AH80" s="1">
        <v>0</v>
      </c>
    </row>
    <row r="81" spans="1:38">
      <c r="A81" s="9" t="s">
        <v>105</v>
      </c>
      <c r="B81" s="10">
        <v>24</v>
      </c>
      <c r="C81" s="9" t="s">
        <v>106</v>
      </c>
      <c r="D81" s="9">
        <v>18</v>
      </c>
      <c r="E81" s="9" t="s">
        <v>679</v>
      </c>
      <c r="F81" s="9"/>
      <c r="G81" s="11"/>
      <c r="H81" s="10" t="s">
        <v>860</v>
      </c>
      <c r="I81" s="9"/>
      <c r="J81" s="9"/>
      <c r="L81" s="10" t="s">
        <v>53</v>
      </c>
      <c r="S81" s="1">
        <v>30</v>
      </c>
      <c r="T81" s="1">
        <v>0</v>
      </c>
      <c r="AG81" s="1">
        <v>30</v>
      </c>
      <c r="AH81" s="1">
        <v>0</v>
      </c>
    </row>
    <row r="82" spans="1:38">
      <c r="A82" s="9" t="s">
        <v>105</v>
      </c>
      <c r="B82" s="10">
        <v>25</v>
      </c>
      <c r="C82" s="9" t="s">
        <v>106</v>
      </c>
      <c r="D82" s="9">
        <v>19</v>
      </c>
      <c r="E82" s="9" t="s">
        <v>679</v>
      </c>
      <c r="F82" s="9"/>
      <c r="G82" s="11"/>
      <c r="H82" s="10" t="s">
        <v>861</v>
      </c>
      <c r="I82" s="9"/>
      <c r="J82" s="9"/>
      <c r="L82" s="10" t="s">
        <v>53</v>
      </c>
    </row>
    <row r="83" spans="1:38">
      <c r="A83" s="9" t="s">
        <v>105</v>
      </c>
      <c r="B83" s="10">
        <v>26</v>
      </c>
      <c r="C83" s="9" t="s">
        <v>106</v>
      </c>
      <c r="D83" s="9">
        <v>20</v>
      </c>
      <c r="E83" s="9" t="s">
        <v>679</v>
      </c>
      <c r="F83" s="9"/>
      <c r="G83" s="11"/>
      <c r="H83" s="10" t="s">
        <v>862</v>
      </c>
      <c r="I83" s="9"/>
      <c r="J83" s="9"/>
      <c r="L83" s="10" t="s">
        <v>53</v>
      </c>
      <c r="W83" s="302" t="s">
        <v>863</v>
      </c>
    </row>
    <row r="84" spans="1:38">
      <c r="A84" s="9" t="s">
        <v>105</v>
      </c>
      <c r="B84" s="10">
        <v>27</v>
      </c>
      <c r="C84" s="9" t="s">
        <v>106</v>
      </c>
      <c r="D84" s="9">
        <v>21</v>
      </c>
      <c r="E84" s="9" t="s">
        <v>679</v>
      </c>
      <c r="F84" s="9"/>
      <c r="G84" s="11"/>
      <c r="H84" s="10" t="s">
        <v>864</v>
      </c>
      <c r="I84" s="9"/>
      <c r="J84" s="9"/>
      <c r="L84" s="10" t="s">
        <v>53</v>
      </c>
      <c r="W84" s="302" t="s">
        <v>865</v>
      </c>
      <c r="AL84" s="1" t="s">
        <v>619</v>
      </c>
    </row>
    <row r="85" spans="1:38">
      <c r="A85" s="9" t="s">
        <v>105</v>
      </c>
      <c r="B85" s="10">
        <v>28</v>
      </c>
      <c r="C85" s="9" t="s">
        <v>106</v>
      </c>
      <c r="D85" s="9">
        <v>22</v>
      </c>
      <c r="E85" s="9" t="s">
        <v>679</v>
      </c>
      <c r="F85" s="9"/>
      <c r="G85" s="11"/>
      <c r="H85" s="10" t="s">
        <v>866</v>
      </c>
      <c r="I85" s="9"/>
      <c r="J85" s="9"/>
      <c r="L85" s="10" t="s">
        <v>53</v>
      </c>
      <c r="AK85" s="1">
        <v>6</v>
      </c>
      <c r="AL85" s="12" t="s">
        <v>829</v>
      </c>
    </row>
    <row r="86" spans="1:38">
      <c r="A86" s="9" t="s">
        <v>105</v>
      </c>
      <c r="B86" s="10">
        <v>29</v>
      </c>
      <c r="C86" s="9" t="s">
        <v>106</v>
      </c>
      <c r="D86" s="9">
        <v>23</v>
      </c>
      <c r="E86" s="9" t="s">
        <v>679</v>
      </c>
      <c r="F86" s="9"/>
      <c r="G86" s="11"/>
      <c r="H86" s="10" t="s">
        <v>867</v>
      </c>
      <c r="I86" s="9"/>
      <c r="J86" s="9"/>
      <c r="L86" s="10" t="s">
        <v>53</v>
      </c>
      <c r="AL86" s="1" t="s">
        <v>634</v>
      </c>
    </row>
    <row r="87" spans="1:38">
      <c r="A87" s="9" t="s">
        <v>105</v>
      </c>
      <c r="B87" s="10">
        <v>30</v>
      </c>
      <c r="C87" s="9" t="s">
        <v>106</v>
      </c>
      <c r="D87" s="9">
        <v>24</v>
      </c>
      <c r="E87" s="9" t="s">
        <v>679</v>
      </c>
      <c r="F87" s="9"/>
      <c r="G87" s="11"/>
      <c r="H87" s="10" t="s">
        <v>868</v>
      </c>
      <c r="I87" s="9"/>
      <c r="J87" s="9"/>
      <c r="L87" s="10" t="s">
        <v>53</v>
      </c>
    </row>
    <row r="88" spans="1:38">
      <c r="A88" s="9" t="s">
        <v>105</v>
      </c>
      <c r="B88" s="10">
        <v>31</v>
      </c>
      <c r="C88" s="9" t="s">
        <v>106</v>
      </c>
      <c r="D88" s="9">
        <v>25</v>
      </c>
      <c r="E88" s="9" t="s">
        <v>679</v>
      </c>
      <c r="F88" s="9"/>
      <c r="G88" s="11"/>
      <c r="H88" s="10" t="s">
        <v>869</v>
      </c>
      <c r="I88" s="9"/>
      <c r="J88" s="9"/>
      <c r="L88" s="10" t="s">
        <v>53</v>
      </c>
    </row>
    <row r="89" spans="1:38">
      <c r="A89" s="9" t="s">
        <v>105</v>
      </c>
      <c r="B89" s="10">
        <v>32</v>
      </c>
      <c r="C89" s="9" t="s">
        <v>106</v>
      </c>
      <c r="D89" s="9">
        <v>26</v>
      </c>
      <c r="E89" s="9" t="s">
        <v>679</v>
      </c>
      <c r="F89" s="9"/>
      <c r="G89" s="11"/>
      <c r="H89" s="10" t="s">
        <v>870</v>
      </c>
      <c r="I89" s="9"/>
      <c r="J89" s="9"/>
      <c r="L89" s="10" t="s">
        <v>53</v>
      </c>
      <c r="V89" s="1">
        <v>0</v>
      </c>
      <c r="AL89" s="302" t="s">
        <v>871</v>
      </c>
    </row>
    <row r="90" spans="1:38">
      <c r="A90" s="9" t="s">
        <v>105</v>
      </c>
      <c r="B90" s="10">
        <v>33</v>
      </c>
      <c r="C90" s="9" t="s">
        <v>106</v>
      </c>
      <c r="D90" s="9">
        <v>27</v>
      </c>
      <c r="E90" s="9" t="s">
        <v>679</v>
      </c>
      <c r="F90" s="9"/>
      <c r="G90" s="11"/>
      <c r="H90" s="10" t="s">
        <v>872</v>
      </c>
      <c r="I90" s="9"/>
      <c r="J90" s="9"/>
      <c r="L90" s="10" t="s">
        <v>53</v>
      </c>
      <c r="W90" s="1" t="s">
        <v>837</v>
      </c>
      <c r="AL90" s="302" t="s">
        <v>638</v>
      </c>
    </row>
    <row r="91" spans="1:38">
      <c r="A91" s="9" t="s">
        <v>105</v>
      </c>
      <c r="B91" s="10">
        <v>34</v>
      </c>
      <c r="C91" s="9" t="s">
        <v>106</v>
      </c>
      <c r="D91" s="9">
        <v>28</v>
      </c>
      <c r="E91" s="9" t="s">
        <v>679</v>
      </c>
      <c r="F91" s="9"/>
      <c r="G91" s="11"/>
      <c r="H91" s="10" t="s">
        <v>873</v>
      </c>
      <c r="I91" s="9"/>
      <c r="J91" s="9"/>
      <c r="L91" s="10" t="s">
        <v>53</v>
      </c>
      <c r="W91" s="1" t="s">
        <v>838</v>
      </c>
      <c r="AL91" s="1" t="s">
        <v>635</v>
      </c>
    </row>
    <row r="92" spans="1:38">
      <c r="A92" s="9" t="s">
        <v>105</v>
      </c>
      <c r="B92" s="10">
        <v>35</v>
      </c>
      <c r="C92" s="9" t="s">
        <v>106</v>
      </c>
      <c r="D92" s="9">
        <v>29</v>
      </c>
      <c r="E92" s="9" t="s">
        <v>679</v>
      </c>
      <c r="F92" s="9"/>
      <c r="G92" s="11"/>
      <c r="H92" s="10" t="s">
        <v>874</v>
      </c>
      <c r="I92" s="9"/>
      <c r="J92" s="9"/>
      <c r="L92" s="10" t="s">
        <v>53</v>
      </c>
    </row>
    <row r="93" spans="1:38">
      <c r="A93" s="9" t="s">
        <v>105</v>
      </c>
      <c r="B93" s="10">
        <v>36</v>
      </c>
      <c r="C93" s="9" t="s">
        <v>106</v>
      </c>
      <c r="D93" s="9">
        <v>30</v>
      </c>
      <c r="E93" s="9" t="s">
        <v>679</v>
      </c>
      <c r="F93" s="9"/>
      <c r="G93" s="11"/>
      <c r="H93" s="10" t="s">
        <v>875</v>
      </c>
      <c r="I93" s="9"/>
      <c r="J93" s="9"/>
      <c r="L93" s="10" t="s">
        <v>53</v>
      </c>
      <c r="W93" s="1" t="s">
        <v>118</v>
      </c>
      <c r="AL93" s="1" t="s">
        <v>839</v>
      </c>
    </row>
    <row r="94" spans="1:38">
      <c r="U94" s="1" t="s">
        <v>689</v>
      </c>
      <c r="V94" s="1">
        <v>2008</v>
      </c>
      <c r="W94" s="1" t="s">
        <v>118</v>
      </c>
    </row>
    <row r="96" spans="1:38">
      <c r="AK96" s="1">
        <v>1</v>
      </c>
    </row>
    <row r="97" spans="37:38">
      <c r="AK97" s="1">
        <v>0</v>
      </c>
      <c r="AL97" s="1" t="s">
        <v>836</v>
      </c>
    </row>
    <row r="98" spans="37:38">
      <c r="AL98" s="1" t="s">
        <v>630</v>
      </c>
    </row>
    <row r="99" spans="37:38">
      <c r="AL99" s="1" t="s">
        <v>118</v>
      </c>
    </row>
    <row r="100" spans="37:38">
      <c r="AL100" s="1" t="s">
        <v>839</v>
      </c>
    </row>
    <row r="101" spans="37:38">
      <c r="AL101" s="1" t="s">
        <v>118</v>
      </c>
    </row>
    <row r="102" spans="37:38">
      <c r="AL102" s="1" t="s">
        <v>118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E86"/>
  <sheetViews>
    <sheetView topLeftCell="A22" workbookViewId="0">
      <selection activeCell="A28" sqref="A1:IV65536"/>
    </sheetView>
  </sheetViews>
  <sheetFormatPr defaultRowHeight="11.25"/>
  <cols>
    <col min="1" max="1" width="13" style="1" customWidth="1"/>
    <col min="2" max="4" width="9.140625" style="1"/>
    <col min="5" max="5" width="12" style="1" customWidth="1"/>
    <col min="6" max="16384" width="9.140625" style="1"/>
  </cols>
  <sheetData>
    <row r="1" spans="1:31">
      <c r="E1" s="1" t="s">
        <v>61</v>
      </c>
      <c r="F1" s="1" t="s">
        <v>61</v>
      </c>
      <c r="G1" s="1" t="s">
        <v>69</v>
      </c>
      <c r="I1" s="1" t="s">
        <v>66</v>
      </c>
      <c r="J1" s="1" t="s">
        <v>66</v>
      </c>
      <c r="K1" s="1" t="s">
        <v>69</v>
      </c>
      <c r="M1" s="1" t="s">
        <v>41</v>
      </c>
      <c r="N1" s="1" t="s">
        <v>41</v>
      </c>
      <c r="O1" s="1" t="s">
        <v>69</v>
      </c>
      <c r="Q1" s="1" t="s">
        <v>109</v>
      </c>
      <c r="R1" s="1" t="s">
        <v>109</v>
      </c>
      <c r="U1" s="1" t="s">
        <v>109</v>
      </c>
      <c r="V1" s="1" t="s">
        <v>109</v>
      </c>
      <c r="Y1" s="1" t="s">
        <v>55</v>
      </c>
      <c r="Z1" s="1" t="s">
        <v>55</v>
      </c>
      <c r="AC1" s="1" t="s">
        <v>321</v>
      </c>
      <c r="AD1" s="1" t="s">
        <v>321</v>
      </c>
    </row>
    <row r="2" spans="1:31">
      <c r="A2" s="1" t="s">
        <v>68</v>
      </c>
      <c r="B2" s="1">
        <v>6</v>
      </c>
      <c r="E2" s="1" t="s">
        <v>62</v>
      </c>
      <c r="F2" s="1" t="s">
        <v>62</v>
      </c>
      <c r="G2" s="1" t="s">
        <v>70</v>
      </c>
      <c r="I2" s="1" t="s">
        <v>62</v>
      </c>
      <c r="J2" s="1" t="s">
        <v>62</v>
      </c>
      <c r="K2" s="1" t="s">
        <v>70</v>
      </c>
      <c r="M2" s="1" t="s">
        <v>63</v>
      </c>
      <c r="N2" s="1" t="s">
        <v>67</v>
      </c>
      <c r="O2" s="1" t="s">
        <v>70</v>
      </c>
      <c r="Q2" s="1" t="s">
        <v>110</v>
      </c>
      <c r="R2" s="1" t="s">
        <v>110</v>
      </c>
      <c r="U2" s="1" t="s">
        <v>51</v>
      </c>
      <c r="V2" s="1" t="s">
        <v>51</v>
      </c>
      <c r="Y2" s="1" t="s">
        <v>51</v>
      </c>
      <c r="Z2" s="1" t="s">
        <v>51</v>
      </c>
      <c r="AC2" s="1" t="s">
        <v>690</v>
      </c>
      <c r="AD2" s="1" t="s">
        <v>690</v>
      </c>
    </row>
    <row r="3" spans="1:31">
      <c r="A3" s="1" t="s">
        <v>55</v>
      </c>
      <c r="B3" s="1" t="s">
        <v>3</v>
      </c>
      <c r="E3" s="1" t="s">
        <v>63</v>
      </c>
      <c r="F3" s="1" t="s">
        <v>67</v>
      </c>
      <c r="I3" s="1" t="s">
        <v>63</v>
      </c>
      <c r="J3" s="1" t="s">
        <v>67</v>
      </c>
      <c r="M3" s="1" t="s">
        <v>64</v>
      </c>
      <c r="N3" s="1" t="s">
        <v>64</v>
      </c>
      <c r="Q3" s="1" t="s">
        <v>63</v>
      </c>
      <c r="R3" s="1" t="s">
        <v>67</v>
      </c>
      <c r="U3" s="1" t="s">
        <v>63</v>
      </c>
      <c r="V3" s="1" t="s">
        <v>67</v>
      </c>
      <c r="Y3" s="1" t="s">
        <v>63</v>
      </c>
      <c r="Z3" s="1" t="s">
        <v>67</v>
      </c>
      <c r="AC3" s="1" t="s">
        <v>63</v>
      </c>
      <c r="AD3" s="1" t="s">
        <v>67</v>
      </c>
    </row>
    <row r="4" spans="1:31">
      <c r="A4" s="1" t="s">
        <v>109</v>
      </c>
      <c r="B4" s="1" t="s">
        <v>3</v>
      </c>
      <c r="C4" s="1" t="s">
        <v>64</v>
      </c>
      <c r="E4" s="1" t="s">
        <v>64</v>
      </c>
      <c r="F4" s="1" t="s">
        <v>64</v>
      </c>
      <c r="I4" s="1" t="s">
        <v>64</v>
      </c>
      <c r="J4" s="1" t="s">
        <v>64</v>
      </c>
      <c r="M4" s="1" t="s">
        <v>65</v>
      </c>
      <c r="N4" s="1" t="s">
        <v>65</v>
      </c>
      <c r="Q4" s="1" t="s">
        <v>64</v>
      </c>
      <c r="R4" s="1" t="s">
        <v>64</v>
      </c>
      <c r="U4" s="1" t="s">
        <v>64</v>
      </c>
      <c r="V4" s="1" t="s">
        <v>64</v>
      </c>
      <c r="Y4" s="1" t="s">
        <v>64</v>
      </c>
      <c r="Z4" s="1" t="s">
        <v>64</v>
      </c>
      <c r="AC4" s="1" t="s">
        <v>64</v>
      </c>
      <c r="AD4" s="1" t="s">
        <v>64</v>
      </c>
    </row>
    <row r="5" spans="1:31">
      <c r="C5" s="1" t="s">
        <v>65</v>
      </c>
      <c r="E5" s="1" t="s">
        <v>65</v>
      </c>
      <c r="F5" s="1" t="s">
        <v>65</v>
      </c>
      <c r="I5" s="1" t="s">
        <v>65</v>
      </c>
      <c r="J5" s="1" t="s">
        <v>65</v>
      </c>
      <c r="Q5" s="1" t="s">
        <v>65</v>
      </c>
      <c r="R5" s="1" t="s">
        <v>65</v>
      </c>
      <c r="U5" s="1" t="s">
        <v>65</v>
      </c>
      <c r="V5" s="1" t="s">
        <v>65</v>
      </c>
      <c r="Y5" s="1" t="s">
        <v>65</v>
      </c>
      <c r="Z5" s="1" t="s">
        <v>65</v>
      </c>
      <c r="AC5" s="1" t="s">
        <v>65</v>
      </c>
      <c r="AD5" s="1" t="s">
        <v>65</v>
      </c>
    </row>
    <row r="7" spans="1:31">
      <c r="B7" s="1">
        <v>1</v>
      </c>
      <c r="C7" s="1">
        <v>1</v>
      </c>
      <c r="D7" s="1">
        <v>0</v>
      </c>
      <c r="E7" s="5">
        <v>208</v>
      </c>
      <c r="F7" s="4">
        <v>208</v>
      </c>
      <c r="G7" s="1">
        <v>0</v>
      </c>
      <c r="I7" s="5">
        <v>120</v>
      </c>
      <c r="J7" s="4">
        <v>120</v>
      </c>
      <c r="K7" s="1">
        <v>0</v>
      </c>
      <c r="M7" s="5" t="s">
        <v>252</v>
      </c>
      <c r="N7" s="4">
        <v>1</v>
      </c>
      <c r="O7" s="1">
        <v>0</v>
      </c>
      <c r="Q7" s="6"/>
      <c r="R7" s="7"/>
      <c r="S7" s="1">
        <v>0</v>
      </c>
      <c r="U7" s="14"/>
      <c r="V7" s="13"/>
      <c r="W7" s="1">
        <v>0</v>
      </c>
      <c r="Y7" s="14"/>
      <c r="Z7" s="13"/>
      <c r="AA7" s="1">
        <v>0</v>
      </c>
      <c r="AC7" s="302">
        <v>2008</v>
      </c>
      <c r="AD7" s="412">
        <v>2008</v>
      </c>
      <c r="AE7" s="1">
        <v>0</v>
      </c>
    </row>
    <row r="8" spans="1:31">
      <c r="B8" s="1">
        <v>1</v>
      </c>
      <c r="C8" s="1">
        <v>2</v>
      </c>
      <c r="D8" s="1">
        <v>0</v>
      </c>
      <c r="E8" s="5">
        <v>208</v>
      </c>
      <c r="F8" s="4">
        <v>208</v>
      </c>
      <c r="G8" s="1">
        <v>0</v>
      </c>
      <c r="I8" s="5">
        <v>120</v>
      </c>
      <c r="J8" s="4">
        <v>120</v>
      </c>
      <c r="K8" s="1">
        <v>0</v>
      </c>
      <c r="M8" s="5" t="s">
        <v>252</v>
      </c>
      <c r="N8" s="4" t="s">
        <v>252</v>
      </c>
      <c r="O8" s="1">
        <v>0</v>
      </c>
      <c r="Q8" s="6"/>
      <c r="R8" s="4"/>
      <c r="S8" s="1">
        <v>0</v>
      </c>
      <c r="U8" s="14"/>
      <c r="V8" s="13"/>
      <c r="W8" s="1">
        <v>0</v>
      </c>
      <c r="Y8" s="14"/>
      <c r="Z8" s="13"/>
      <c r="AA8" s="1">
        <v>0</v>
      </c>
      <c r="AC8" s="302">
        <v>2008</v>
      </c>
      <c r="AD8" s="412">
        <v>2008</v>
      </c>
      <c r="AE8" s="1">
        <v>0</v>
      </c>
    </row>
    <row r="9" spans="1:31">
      <c r="B9" s="1">
        <v>1</v>
      </c>
      <c r="C9" s="1">
        <v>3</v>
      </c>
      <c r="D9" s="1">
        <v>0</v>
      </c>
      <c r="E9" s="5">
        <v>208</v>
      </c>
      <c r="F9" s="4">
        <v>208</v>
      </c>
      <c r="G9" s="1">
        <v>0</v>
      </c>
      <c r="I9" s="5">
        <v>120</v>
      </c>
      <c r="J9" s="4">
        <v>120</v>
      </c>
      <c r="K9" s="1">
        <v>0</v>
      </c>
      <c r="M9" s="5" t="s">
        <v>252</v>
      </c>
      <c r="N9" s="4" t="s">
        <v>252</v>
      </c>
      <c r="O9" s="1">
        <v>0</v>
      </c>
      <c r="Q9" s="6"/>
      <c r="R9" s="4"/>
      <c r="S9" s="1">
        <v>0</v>
      </c>
      <c r="U9" s="14"/>
      <c r="V9" s="13"/>
      <c r="W9" s="1">
        <v>0</v>
      </c>
      <c r="Y9" s="14"/>
      <c r="Z9" s="13"/>
      <c r="AA9" s="1">
        <v>0</v>
      </c>
      <c r="AC9" s="302">
        <v>2008</v>
      </c>
      <c r="AD9" s="412">
        <v>2008</v>
      </c>
      <c r="AE9" s="1">
        <v>0</v>
      </c>
    </row>
    <row r="10" spans="1:31">
      <c r="B10" s="1">
        <v>1</v>
      </c>
      <c r="C10" s="1">
        <v>4</v>
      </c>
      <c r="D10" s="1">
        <v>0</v>
      </c>
      <c r="E10" s="5">
        <v>208</v>
      </c>
      <c r="F10" s="4">
        <v>208</v>
      </c>
      <c r="G10" s="1">
        <v>0</v>
      </c>
      <c r="I10" s="5">
        <v>120</v>
      </c>
      <c r="J10" s="4">
        <v>120</v>
      </c>
      <c r="K10" s="1">
        <v>0</v>
      </c>
      <c r="M10" s="5" t="s">
        <v>252</v>
      </c>
      <c r="N10" s="4" t="s">
        <v>252</v>
      </c>
      <c r="O10" s="1">
        <v>0</v>
      </c>
      <c r="Q10" s="6"/>
      <c r="R10" s="4"/>
      <c r="S10" s="1">
        <v>0</v>
      </c>
      <c r="U10" s="14"/>
      <c r="V10" s="13"/>
      <c r="W10" s="1">
        <v>0</v>
      </c>
      <c r="Y10" s="14"/>
      <c r="Z10" s="13"/>
      <c r="AA10" s="1">
        <v>0</v>
      </c>
      <c r="AC10" s="302">
        <v>2008</v>
      </c>
      <c r="AD10" s="412">
        <v>2008</v>
      </c>
      <c r="AE10" s="1">
        <v>0</v>
      </c>
    </row>
    <row r="11" spans="1:31">
      <c r="B11" s="1">
        <v>1</v>
      </c>
      <c r="C11" s="1">
        <v>5</v>
      </c>
      <c r="D11" s="1">
        <v>0</v>
      </c>
      <c r="E11" s="5">
        <v>208</v>
      </c>
      <c r="F11" s="4">
        <v>208</v>
      </c>
      <c r="G11" s="1">
        <v>0</v>
      </c>
      <c r="I11" s="5">
        <v>120</v>
      </c>
      <c r="J11" s="4">
        <v>120</v>
      </c>
      <c r="K11" s="1">
        <v>0</v>
      </c>
      <c r="M11" s="5" t="s">
        <v>252</v>
      </c>
      <c r="N11" s="4" t="s">
        <v>252</v>
      </c>
      <c r="O11" s="1">
        <v>0</v>
      </c>
      <c r="Q11" s="6"/>
      <c r="R11" s="4"/>
      <c r="S11" s="1">
        <v>0</v>
      </c>
      <c r="U11" s="14"/>
      <c r="V11" s="13"/>
      <c r="W11" s="1">
        <v>0</v>
      </c>
      <c r="Y11" s="14"/>
      <c r="Z11" s="13"/>
      <c r="AA11" s="1">
        <v>0</v>
      </c>
      <c r="AC11" s="302">
        <v>2008</v>
      </c>
      <c r="AD11" s="412">
        <v>2008</v>
      </c>
      <c r="AE11" s="1">
        <v>0</v>
      </c>
    </row>
    <row r="12" spans="1:31">
      <c r="B12" s="1">
        <v>1</v>
      </c>
      <c r="C12" s="1">
        <v>6</v>
      </c>
      <c r="D12" s="1">
        <v>0</v>
      </c>
      <c r="E12" s="5">
        <v>208</v>
      </c>
      <c r="F12" s="4">
        <v>208</v>
      </c>
      <c r="G12" s="1">
        <v>0</v>
      </c>
      <c r="I12" s="5">
        <v>120</v>
      </c>
      <c r="J12" s="4">
        <v>120</v>
      </c>
      <c r="K12" s="1">
        <v>0</v>
      </c>
      <c r="M12" s="5" t="s">
        <v>252</v>
      </c>
      <c r="N12" s="4" t="s">
        <v>252</v>
      </c>
      <c r="O12" s="1">
        <v>0</v>
      </c>
      <c r="Q12" s="6"/>
      <c r="R12" s="4"/>
      <c r="S12" s="1">
        <v>0</v>
      </c>
      <c r="U12" s="14"/>
      <c r="V12" s="13"/>
      <c r="W12" s="1">
        <v>0</v>
      </c>
      <c r="Y12" s="14"/>
      <c r="Z12" s="13"/>
      <c r="AA12" s="1">
        <v>0</v>
      </c>
      <c r="AC12" s="302">
        <v>2008</v>
      </c>
      <c r="AD12" s="412">
        <v>2008</v>
      </c>
      <c r="AE12" s="1">
        <v>0</v>
      </c>
    </row>
    <row r="13" spans="1:31">
      <c r="B13" s="1">
        <v>0</v>
      </c>
      <c r="C13" s="1">
        <v>7</v>
      </c>
      <c r="D13" s="1">
        <v>0</v>
      </c>
      <c r="E13" s="5">
        <v>208</v>
      </c>
      <c r="F13" s="4">
        <v>208</v>
      </c>
      <c r="G13" s="1">
        <v>0</v>
      </c>
      <c r="I13" s="5">
        <v>120</v>
      </c>
      <c r="J13" s="4">
        <v>120</v>
      </c>
      <c r="K13" s="1">
        <v>0</v>
      </c>
      <c r="M13" s="5" t="s">
        <v>252</v>
      </c>
      <c r="N13" s="4" t="s">
        <v>252</v>
      </c>
      <c r="O13" s="1">
        <v>0</v>
      </c>
      <c r="Q13" s="6"/>
      <c r="R13" s="4"/>
      <c r="S13" s="1">
        <v>0</v>
      </c>
      <c r="U13" s="14"/>
      <c r="V13" s="13"/>
      <c r="W13" s="1">
        <v>0</v>
      </c>
      <c r="Y13" s="14"/>
      <c r="Z13" s="13"/>
      <c r="AA13" s="1">
        <v>0</v>
      </c>
      <c r="AC13" s="302">
        <v>2008</v>
      </c>
      <c r="AD13" s="412">
        <v>2008</v>
      </c>
      <c r="AE13" s="1">
        <v>0</v>
      </c>
    </row>
    <row r="14" spans="1:31">
      <c r="B14" s="1">
        <v>0</v>
      </c>
      <c r="C14" s="1">
        <v>8</v>
      </c>
      <c r="D14" s="1">
        <v>0</v>
      </c>
      <c r="E14" s="5">
        <v>208</v>
      </c>
      <c r="F14" s="4">
        <v>208</v>
      </c>
      <c r="G14" s="1">
        <v>0</v>
      </c>
      <c r="I14" s="5">
        <v>120</v>
      </c>
      <c r="J14" s="4">
        <v>120</v>
      </c>
      <c r="K14" s="1">
        <v>0</v>
      </c>
      <c r="M14" s="5" t="s">
        <v>252</v>
      </c>
      <c r="N14" s="4" t="s">
        <v>252</v>
      </c>
      <c r="O14" s="1">
        <v>0</v>
      </c>
      <c r="Q14" s="6"/>
      <c r="R14" s="4"/>
      <c r="S14" s="1">
        <v>0</v>
      </c>
      <c r="U14" s="14"/>
      <c r="V14" s="13"/>
      <c r="W14" s="1">
        <v>0</v>
      </c>
      <c r="Y14" s="14"/>
      <c r="Z14" s="13"/>
      <c r="AA14" s="1">
        <v>0</v>
      </c>
      <c r="AC14" s="302">
        <v>2008</v>
      </c>
      <c r="AD14" s="412">
        <v>2008</v>
      </c>
      <c r="AE14" s="1">
        <v>0</v>
      </c>
    </row>
    <row r="15" spans="1:31">
      <c r="B15" s="1">
        <v>0</v>
      </c>
      <c r="C15" s="1">
        <v>9</v>
      </c>
      <c r="D15" s="1">
        <v>0</v>
      </c>
      <c r="E15" s="5">
        <v>208</v>
      </c>
      <c r="F15" s="4">
        <v>208</v>
      </c>
      <c r="G15" s="1">
        <v>0</v>
      </c>
      <c r="I15" s="5">
        <v>120</v>
      </c>
      <c r="J15" s="4">
        <v>120</v>
      </c>
      <c r="K15" s="1">
        <v>0</v>
      </c>
      <c r="M15" s="5" t="s">
        <v>252</v>
      </c>
      <c r="N15" s="4" t="s">
        <v>252</v>
      </c>
      <c r="O15" s="1">
        <v>0</v>
      </c>
      <c r="Q15" s="6"/>
      <c r="R15" s="4"/>
      <c r="S15" s="1">
        <v>0</v>
      </c>
      <c r="U15" s="14"/>
      <c r="V15" s="13"/>
      <c r="W15" s="1">
        <v>0</v>
      </c>
      <c r="Y15" s="14"/>
      <c r="Z15" s="13"/>
      <c r="AA15" s="1">
        <v>0</v>
      </c>
      <c r="AC15" s="302">
        <v>2008</v>
      </c>
      <c r="AD15" s="412">
        <v>2008</v>
      </c>
      <c r="AE15" s="1">
        <v>0</v>
      </c>
    </row>
    <row r="16" spans="1:31">
      <c r="B16" s="1">
        <v>0</v>
      </c>
      <c r="C16" s="1">
        <v>10</v>
      </c>
      <c r="D16" s="1">
        <v>0</v>
      </c>
      <c r="E16" s="5">
        <v>208</v>
      </c>
      <c r="F16" s="4">
        <v>208</v>
      </c>
      <c r="G16" s="1">
        <v>0</v>
      </c>
      <c r="I16" s="5">
        <v>120</v>
      </c>
      <c r="J16" s="4">
        <v>120</v>
      </c>
      <c r="K16" s="1">
        <v>0</v>
      </c>
      <c r="M16" s="5" t="s">
        <v>252</v>
      </c>
      <c r="N16" s="4" t="s">
        <v>252</v>
      </c>
      <c r="O16" s="1">
        <v>0</v>
      </c>
      <c r="Q16" s="6"/>
      <c r="R16" s="4"/>
      <c r="S16" s="1">
        <v>0</v>
      </c>
      <c r="U16" s="14"/>
      <c r="V16" s="13"/>
      <c r="W16" s="1">
        <v>0</v>
      </c>
      <c r="Y16" s="14"/>
      <c r="Z16" s="13"/>
      <c r="AA16" s="1">
        <v>0</v>
      </c>
      <c r="AC16" s="302">
        <v>2008</v>
      </c>
      <c r="AD16" s="412">
        <v>2008</v>
      </c>
      <c r="AE16" s="1">
        <v>0</v>
      </c>
    </row>
    <row r="17" spans="2:31">
      <c r="B17" s="1">
        <v>0</v>
      </c>
      <c r="C17" s="1">
        <v>11</v>
      </c>
      <c r="D17" s="1">
        <v>0</v>
      </c>
      <c r="E17" s="5">
        <v>208</v>
      </c>
      <c r="F17" s="4">
        <v>208</v>
      </c>
      <c r="G17" s="1">
        <v>0</v>
      </c>
      <c r="I17" s="5">
        <v>120</v>
      </c>
      <c r="J17" s="4">
        <v>120</v>
      </c>
      <c r="K17" s="1">
        <v>0</v>
      </c>
      <c r="M17" s="5" t="s">
        <v>252</v>
      </c>
      <c r="N17" s="4" t="s">
        <v>252</v>
      </c>
      <c r="O17" s="1">
        <v>0</v>
      </c>
      <c r="Q17" s="6"/>
      <c r="R17" s="4"/>
      <c r="S17" s="1">
        <v>0</v>
      </c>
      <c r="U17" s="14"/>
      <c r="V17" s="13"/>
      <c r="W17" s="1">
        <v>0</v>
      </c>
      <c r="Y17" s="14"/>
      <c r="Z17" s="13"/>
      <c r="AA17" s="1">
        <v>0</v>
      </c>
      <c r="AC17" s="302">
        <v>2008</v>
      </c>
      <c r="AD17" s="412">
        <v>2008</v>
      </c>
      <c r="AE17" s="1">
        <v>0</v>
      </c>
    </row>
    <row r="18" spans="2:31">
      <c r="B18" s="1">
        <v>0</v>
      </c>
      <c r="C18" s="1">
        <v>12</v>
      </c>
      <c r="D18" s="1">
        <v>0</v>
      </c>
      <c r="E18" s="5">
        <v>208</v>
      </c>
      <c r="F18" s="4">
        <v>208</v>
      </c>
      <c r="G18" s="1">
        <v>0</v>
      </c>
      <c r="I18" s="5">
        <v>120</v>
      </c>
      <c r="J18" s="4">
        <v>120</v>
      </c>
      <c r="K18" s="1">
        <v>0</v>
      </c>
      <c r="M18" s="5" t="s">
        <v>252</v>
      </c>
      <c r="N18" s="4" t="s">
        <v>252</v>
      </c>
      <c r="O18" s="1">
        <v>0</v>
      </c>
      <c r="Q18" s="6"/>
      <c r="R18" s="4"/>
      <c r="S18" s="1">
        <v>0</v>
      </c>
      <c r="U18" s="14"/>
      <c r="V18" s="13"/>
      <c r="W18" s="1">
        <v>0</v>
      </c>
      <c r="Y18" s="14"/>
      <c r="Z18" s="13"/>
      <c r="AA18" s="1">
        <v>0</v>
      </c>
      <c r="AC18" s="302">
        <v>2008</v>
      </c>
      <c r="AD18" s="412">
        <v>2008</v>
      </c>
      <c r="AE18" s="1">
        <v>0</v>
      </c>
    </row>
    <row r="19" spans="2:31">
      <c r="B19" s="1">
        <v>0</v>
      </c>
      <c r="C19" s="1">
        <v>13</v>
      </c>
      <c r="D19" s="1">
        <v>0</v>
      </c>
      <c r="E19" s="5">
        <v>208</v>
      </c>
      <c r="F19" s="4">
        <v>208</v>
      </c>
      <c r="G19" s="1">
        <v>0</v>
      </c>
      <c r="I19" s="5">
        <v>120</v>
      </c>
      <c r="J19" s="4">
        <v>120</v>
      </c>
      <c r="K19" s="1">
        <v>0</v>
      </c>
      <c r="M19" s="5" t="s">
        <v>252</v>
      </c>
      <c r="N19" s="4" t="s">
        <v>252</v>
      </c>
      <c r="O19" s="1">
        <v>0</v>
      </c>
      <c r="Q19" s="6"/>
      <c r="R19" s="4"/>
      <c r="S19" s="1">
        <v>0</v>
      </c>
      <c r="U19" s="14"/>
      <c r="V19" s="13"/>
      <c r="W19" s="1">
        <v>0</v>
      </c>
      <c r="Y19" s="14"/>
      <c r="Z19" s="13"/>
      <c r="AA19" s="1">
        <v>0</v>
      </c>
      <c r="AC19" s="302">
        <v>2008</v>
      </c>
      <c r="AD19" s="412">
        <v>2008</v>
      </c>
      <c r="AE19" s="1">
        <v>0</v>
      </c>
    </row>
    <row r="20" spans="2:31">
      <c r="B20" s="1">
        <v>0</v>
      </c>
      <c r="C20" s="1">
        <v>14</v>
      </c>
      <c r="D20" s="1">
        <v>0</v>
      </c>
      <c r="E20" s="5">
        <v>208</v>
      </c>
      <c r="F20" s="4">
        <v>208</v>
      </c>
      <c r="G20" s="1">
        <v>0</v>
      </c>
      <c r="I20" s="5">
        <v>120</v>
      </c>
      <c r="J20" s="4">
        <v>120</v>
      </c>
      <c r="K20" s="1">
        <v>0</v>
      </c>
      <c r="M20" s="5" t="s">
        <v>252</v>
      </c>
      <c r="N20" s="4" t="s">
        <v>252</v>
      </c>
      <c r="O20" s="1">
        <v>0</v>
      </c>
      <c r="Q20" s="6"/>
      <c r="R20" s="4"/>
      <c r="S20" s="1">
        <v>0</v>
      </c>
      <c r="U20" s="14"/>
      <c r="V20" s="13"/>
      <c r="W20" s="1">
        <v>0</v>
      </c>
      <c r="Y20" s="14"/>
      <c r="Z20" s="13"/>
      <c r="AA20" s="1">
        <v>0</v>
      </c>
      <c r="AC20" s="302">
        <v>2008</v>
      </c>
      <c r="AD20" s="412">
        <v>2008</v>
      </c>
      <c r="AE20" s="1">
        <v>0</v>
      </c>
    </row>
    <row r="21" spans="2:31">
      <c r="B21" s="1">
        <v>0</v>
      </c>
      <c r="C21" s="1">
        <v>15</v>
      </c>
      <c r="D21" s="1">
        <v>0</v>
      </c>
      <c r="E21" s="5">
        <v>208</v>
      </c>
      <c r="F21" s="4">
        <v>208</v>
      </c>
      <c r="G21" s="1">
        <v>0</v>
      </c>
      <c r="I21" s="5">
        <v>120</v>
      </c>
      <c r="J21" s="4">
        <v>120</v>
      </c>
      <c r="K21" s="1">
        <v>0</v>
      </c>
      <c r="M21" s="5" t="s">
        <v>252</v>
      </c>
      <c r="N21" s="4" t="s">
        <v>252</v>
      </c>
      <c r="O21" s="1">
        <v>0</v>
      </c>
      <c r="Q21" s="6"/>
      <c r="R21" s="4"/>
      <c r="S21" s="1">
        <v>0</v>
      </c>
      <c r="U21" s="14"/>
      <c r="V21" s="13"/>
      <c r="W21" s="1">
        <v>0</v>
      </c>
      <c r="Y21" s="14"/>
      <c r="Z21" s="13"/>
      <c r="AA21" s="1">
        <v>0</v>
      </c>
      <c r="AC21" s="302">
        <v>2008</v>
      </c>
      <c r="AD21" s="412">
        <v>2008</v>
      </c>
      <c r="AE21" s="1">
        <v>0</v>
      </c>
    </row>
    <row r="22" spans="2:31">
      <c r="B22" s="1">
        <v>0</v>
      </c>
      <c r="C22" s="1">
        <v>16</v>
      </c>
      <c r="D22" s="1">
        <v>0</v>
      </c>
      <c r="E22" s="5">
        <v>208</v>
      </c>
      <c r="F22" s="4">
        <v>208</v>
      </c>
      <c r="G22" s="1">
        <v>0</v>
      </c>
      <c r="I22" s="5">
        <v>120</v>
      </c>
      <c r="J22" s="4">
        <v>120</v>
      </c>
      <c r="K22" s="1">
        <v>0</v>
      </c>
      <c r="M22" s="5" t="s">
        <v>252</v>
      </c>
      <c r="N22" s="4" t="s">
        <v>252</v>
      </c>
      <c r="O22" s="1">
        <v>0</v>
      </c>
      <c r="Q22" s="6"/>
      <c r="R22" s="4"/>
      <c r="S22" s="1">
        <v>0</v>
      </c>
      <c r="U22" s="14"/>
      <c r="V22" s="13"/>
      <c r="W22" s="1">
        <v>0</v>
      </c>
      <c r="Y22" s="14"/>
      <c r="Z22" s="13"/>
      <c r="AA22" s="1">
        <v>0</v>
      </c>
      <c r="AC22" s="302">
        <v>2008</v>
      </c>
      <c r="AD22" s="412">
        <v>2008</v>
      </c>
      <c r="AE22" s="1">
        <v>0</v>
      </c>
    </row>
    <row r="23" spans="2:31">
      <c r="B23" s="1">
        <v>0</v>
      </c>
      <c r="C23" s="1">
        <v>17</v>
      </c>
      <c r="D23" s="1">
        <v>0</v>
      </c>
      <c r="E23" s="5">
        <v>208</v>
      </c>
      <c r="F23" s="4">
        <v>208</v>
      </c>
      <c r="G23" s="1">
        <v>0</v>
      </c>
      <c r="I23" s="5">
        <v>120</v>
      </c>
      <c r="J23" s="4">
        <v>120</v>
      </c>
      <c r="K23" s="1">
        <v>0</v>
      </c>
      <c r="M23" s="5" t="s">
        <v>252</v>
      </c>
      <c r="N23" s="4" t="s">
        <v>252</v>
      </c>
      <c r="O23" s="1">
        <v>0</v>
      </c>
      <c r="Q23" s="6"/>
      <c r="R23" s="4"/>
      <c r="S23" s="1">
        <v>0</v>
      </c>
      <c r="U23" s="14"/>
      <c r="V23" s="13"/>
      <c r="W23" s="1">
        <v>0</v>
      </c>
      <c r="Y23" s="14"/>
      <c r="Z23" s="13"/>
      <c r="AA23" s="1">
        <v>0</v>
      </c>
      <c r="AC23" s="302">
        <v>2008</v>
      </c>
      <c r="AD23" s="412">
        <v>2008</v>
      </c>
      <c r="AE23" s="1">
        <v>0</v>
      </c>
    </row>
    <row r="24" spans="2:31">
      <c r="B24" s="1">
        <v>0</v>
      </c>
      <c r="C24" s="1">
        <v>18</v>
      </c>
      <c r="D24" s="1">
        <v>0</v>
      </c>
      <c r="E24" s="5">
        <v>208</v>
      </c>
      <c r="F24" s="4">
        <v>208</v>
      </c>
      <c r="G24" s="1">
        <v>0</v>
      </c>
      <c r="I24" s="5">
        <v>120</v>
      </c>
      <c r="J24" s="4">
        <v>120</v>
      </c>
      <c r="K24" s="1">
        <v>0</v>
      </c>
      <c r="M24" s="5" t="s">
        <v>252</v>
      </c>
      <c r="N24" s="4" t="s">
        <v>252</v>
      </c>
      <c r="O24" s="1">
        <v>0</v>
      </c>
      <c r="Q24" s="6"/>
      <c r="R24" s="4"/>
      <c r="S24" s="1">
        <v>0</v>
      </c>
      <c r="U24" s="14"/>
      <c r="V24" s="13"/>
      <c r="W24" s="1">
        <v>0</v>
      </c>
      <c r="Y24" s="14"/>
      <c r="Z24" s="13"/>
      <c r="AA24" s="1">
        <v>0</v>
      </c>
      <c r="AC24" s="302">
        <v>2008</v>
      </c>
      <c r="AD24" s="412">
        <v>2008</v>
      </c>
      <c r="AE24" s="1">
        <v>0</v>
      </c>
    </row>
    <row r="25" spans="2:31">
      <c r="B25" s="1">
        <v>0</v>
      </c>
      <c r="C25" s="1">
        <v>19</v>
      </c>
      <c r="D25" s="1">
        <v>0</v>
      </c>
      <c r="E25" s="5">
        <v>208</v>
      </c>
      <c r="F25" s="4">
        <v>208</v>
      </c>
      <c r="G25" s="1">
        <v>0</v>
      </c>
      <c r="I25" s="5">
        <v>120</v>
      </c>
      <c r="J25" s="4">
        <v>120</v>
      </c>
      <c r="K25" s="1">
        <v>0</v>
      </c>
      <c r="M25" s="5" t="s">
        <v>252</v>
      </c>
      <c r="N25" s="4" t="s">
        <v>252</v>
      </c>
      <c r="O25" s="1">
        <v>0</v>
      </c>
      <c r="Q25" s="6"/>
      <c r="R25" s="4"/>
      <c r="S25" s="1">
        <v>0</v>
      </c>
      <c r="U25" s="14"/>
      <c r="V25" s="13"/>
      <c r="W25" s="1">
        <v>0</v>
      </c>
      <c r="Y25" s="14"/>
      <c r="Z25" s="13"/>
      <c r="AA25" s="1">
        <v>0</v>
      </c>
      <c r="AC25" s="302">
        <v>2008</v>
      </c>
      <c r="AD25" s="412">
        <v>2008</v>
      </c>
      <c r="AE25" s="1">
        <v>0</v>
      </c>
    </row>
    <row r="26" spans="2:31">
      <c r="B26" s="1">
        <v>0</v>
      </c>
      <c r="C26" s="1">
        <v>20</v>
      </c>
      <c r="D26" s="1">
        <v>0</v>
      </c>
      <c r="E26" s="5">
        <v>208</v>
      </c>
      <c r="F26" s="4">
        <v>208</v>
      </c>
      <c r="G26" s="1">
        <v>0</v>
      </c>
      <c r="I26" s="5">
        <v>120</v>
      </c>
      <c r="J26" s="4">
        <v>120</v>
      </c>
      <c r="K26" s="1">
        <v>0</v>
      </c>
      <c r="M26" s="5" t="s">
        <v>252</v>
      </c>
      <c r="N26" s="4" t="s">
        <v>252</v>
      </c>
      <c r="O26" s="1">
        <v>0</v>
      </c>
      <c r="Q26" s="6"/>
      <c r="R26" s="4"/>
      <c r="S26" s="1">
        <v>0</v>
      </c>
      <c r="U26" s="14"/>
      <c r="V26" s="13"/>
      <c r="W26" s="1">
        <v>0</v>
      </c>
      <c r="Y26" s="14"/>
      <c r="Z26" s="13"/>
      <c r="AA26" s="1">
        <v>0</v>
      </c>
      <c r="AC26" s="302">
        <v>2008</v>
      </c>
      <c r="AD26" s="412">
        <v>2008</v>
      </c>
      <c r="AE26" s="1">
        <v>0</v>
      </c>
    </row>
    <row r="27" spans="2:31">
      <c r="B27" s="1">
        <v>0</v>
      </c>
      <c r="C27" s="1">
        <v>21</v>
      </c>
      <c r="D27" s="1">
        <v>0</v>
      </c>
      <c r="E27" s="5">
        <v>208</v>
      </c>
      <c r="F27" s="4">
        <v>208</v>
      </c>
      <c r="G27" s="1">
        <v>0</v>
      </c>
      <c r="I27" s="5">
        <v>120</v>
      </c>
      <c r="J27" s="4">
        <v>120</v>
      </c>
      <c r="K27" s="1">
        <v>0</v>
      </c>
      <c r="M27" s="5" t="s">
        <v>252</v>
      </c>
      <c r="N27" s="4" t="s">
        <v>252</v>
      </c>
      <c r="O27" s="1">
        <v>0</v>
      </c>
      <c r="Q27" s="6"/>
      <c r="R27" s="4"/>
      <c r="S27" s="1">
        <v>0</v>
      </c>
      <c r="U27" s="14"/>
      <c r="V27" s="13"/>
      <c r="W27" s="1">
        <v>0</v>
      </c>
      <c r="Y27" s="14"/>
      <c r="Z27" s="13"/>
      <c r="AA27" s="1">
        <v>0</v>
      </c>
      <c r="AC27" s="302">
        <v>2008</v>
      </c>
      <c r="AD27" s="412">
        <v>2008</v>
      </c>
      <c r="AE27" s="1">
        <v>0</v>
      </c>
    </row>
    <row r="28" spans="2:31">
      <c r="B28" s="1">
        <v>0</v>
      </c>
      <c r="C28" s="1">
        <v>22</v>
      </c>
      <c r="D28" s="1">
        <v>0</v>
      </c>
      <c r="E28" s="5">
        <v>208</v>
      </c>
      <c r="F28" s="4">
        <v>208</v>
      </c>
      <c r="G28" s="1">
        <v>0</v>
      </c>
      <c r="I28" s="5">
        <v>120</v>
      </c>
      <c r="J28" s="4">
        <v>120</v>
      </c>
      <c r="K28" s="1">
        <v>0</v>
      </c>
      <c r="M28" s="5" t="s">
        <v>252</v>
      </c>
      <c r="N28" s="4" t="s">
        <v>252</v>
      </c>
      <c r="O28" s="1">
        <v>0</v>
      </c>
      <c r="Q28" s="6"/>
      <c r="R28" s="4"/>
      <c r="S28" s="1">
        <v>0</v>
      </c>
      <c r="U28" s="14"/>
      <c r="V28" s="13"/>
      <c r="W28" s="1">
        <v>0</v>
      </c>
      <c r="Y28" s="14"/>
      <c r="Z28" s="13"/>
      <c r="AA28" s="1">
        <v>0</v>
      </c>
      <c r="AC28" s="302">
        <v>2008</v>
      </c>
      <c r="AD28" s="412">
        <v>2008</v>
      </c>
      <c r="AE28" s="1">
        <v>0</v>
      </c>
    </row>
    <row r="29" spans="2:31">
      <c r="B29" s="1">
        <v>0</v>
      </c>
      <c r="C29" s="1">
        <v>23</v>
      </c>
      <c r="D29" s="1">
        <v>0</v>
      </c>
      <c r="E29" s="5">
        <v>208</v>
      </c>
      <c r="F29" s="4">
        <v>208</v>
      </c>
      <c r="G29" s="1">
        <v>0</v>
      </c>
      <c r="I29" s="5">
        <v>120</v>
      </c>
      <c r="J29" s="4">
        <v>120</v>
      </c>
      <c r="K29" s="1">
        <v>0</v>
      </c>
      <c r="M29" s="5" t="s">
        <v>252</v>
      </c>
      <c r="N29" s="4" t="s">
        <v>252</v>
      </c>
      <c r="O29" s="1">
        <v>0</v>
      </c>
      <c r="Q29" s="6"/>
      <c r="R29" s="4"/>
      <c r="S29" s="1">
        <v>0</v>
      </c>
      <c r="U29" s="14"/>
      <c r="V29" s="13"/>
      <c r="W29" s="1">
        <v>0</v>
      </c>
      <c r="Y29" s="14"/>
      <c r="Z29" s="13"/>
      <c r="AA29" s="1">
        <v>0</v>
      </c>
      <c r="AC29" s="302">
        <v>2008</v>
      </c>
      <c r="AD29" s="412">
        <v>2008</v>
      </c>
      <c r="AE29" s="1">
        <v>0</v>
      </c>
    </row>
    <row r="30" spans="2:31">
      <c r="B30" s="1">
        <v>0</v>
      </c>
      <c r="C30" s="1">
        <v>24</v>
      </c>
      <c r="D30" s="1">
        <v>0</v>
      </c>
      <c r="E30" s="5">
        <v>208</v>
      </c>
      <c r="F30" s="4">
        <v>208</v>
      </c>
      <c r="G30" s="1">
        <v>0</v>
      </c>
      <c r="I30" s="5">
        <v>120</v>
      </c>
      <c r="J30" s="4">
        <v>120</v>
      </c>
      <c r="K30" s="1">
        <v>0</v>
      </c>
      <c r="M30" s="5" t="s">
        <v>252</v>
      </c>
      <c r="N30" s="4" t="s">
        <v>252</v>
      </c>
      <c r="O30" s="1">
        <v>0</v>
      </c>
      <c r="Q30" s="6"/>
      <c r="R30" s="4"/>
      <c r="S30" s="1">
        <v>0</v>
      </c>
      <c r="U30" s="14"/>
      <c r="V30" s="13"/>
      <c r="W30" s="1">
        <v>0</v>
      </c>
      <c r="Y30" s="14"/>
      <c r="Z30" s="13"/>
      <c r="AA30" s="1">
        <v>0</v>
      </c>
      <c r="AC30" s="302">
        <v>2008</v>
      </c>
      <c r="AD30" s="412">
        <v>2008</v>
      </c>
      <c r="AE30" s="1">
        <v>0</v>
      </c>
    </row>
    <row r="31" spans="2:31">
      <c r="B31" s="1">
        <v>0</v>
      </c>
      <c r="C31" s="1">
        <v>25</v>
      </c>
      <c r="D31" s="1">
        <v>0</v>
      </c>
      <c r="E31" s="5">
        <v>208</v>
      </c>
      <c r="F31" s="4">
        <v>208</v>
      </c>
      <c r="G31" s="1">
        <v>0</v>
      </c>
      <c r="I31" s="5">
        <v>120</v>
      </c>
      <c r="J31" s="4">
        <v>120</v>
      </c>
      <c r="K31" s="1">
        <v>0</v>
      </c>
      <c r="M31" s="5" t="s">
        <v>252</v>
      </c>
      <c r="N31" s="4" t="s">
        <v>252</v>
      </c>
      <c r="O31" s="1">
        <v>0</v>
      </c>
      <c r="Q31" s="6"/>
      <c r="R31" s="4"/>
      <c r="S31" s="1">
        <v>0</v>
      </c>
      <c r="U31" s="14"/>
      <c r="V31" s="13"/>
      <c r="W31" s="1">
        <v>0</v>
      </c>
      <c r="Y31" s="14"/>
      <c r="Z31" s="13"/>
      <c r="AA31" s="1">
        <v>0</v>
      </c>
      <c r="AC31" s="302">
        <v>2008</v>
      </c>
      <c r="AD31" s="412">
        <v>2008</v>
      </c>
      <c r="AE31" s="1">
        <v>0</v>
      </c>
    </row>
    <row r="32" spans="2:31">
      <c r="B32" s="1">
        <v>0</v>
      </c>
      <c r="C32" s="1">
        <v>26</v>
      </c>
      <c r="D32" s="1">
        <v>0</v>
      </c>
      <c r="E32" s="5">
        <v>208</v>
      </c>
      <c r="F32" s="4">
        <v>208</v>
      </c>
      <c r="G32" s="1">
        <v>0</v>
      </c>
      <c r="I32" s="5">
        <v>120</v>
      </c>
      <c r="J32" s="4">
        <v>120</v>
      </c>
      <c r="K32" s="1">
        <v>0</v>
      </c>
      <c r="M32" s="5" t="s">
        <v>252</v>
      </c>
      <c r="N32" s="4" t="s">
        <v>252</v>
      </c>
      <c r="O32" s="1">
        <v>0</v>
      </c>
      <c r="Q32" s="6"/>
      <c r="R32" s="4"/>
      <c r="S32" s="1">
        <v>0</v>
      </c>
      <c r="U32" s="14"/>
      <c r="V32" s="13"/>
      <c r="W32" s="1">
        <v>0</v>
      </c>
      <c r="Y32" s="14"/>
      <c r="Z32" s="13"/>
      <c r="AA32" s="1">
        <v>0</v>
      </c>
      <c r="AC32" s="302">
        <v>2008</v>
      </c>
      <c r="AD32" s="412">
        <v>2008</v>
      </c>
      <c r="AE32" s="1">
        <v>0</v>
      </c>
    </row>
    <row r="33" spans="1:31">
      <c r="B33" s="1">
        <v>0</v>
      </c>
      <c r="C33" s="1">
        <v>27</v>
      </c>
      <c r="D33" s="1">
        <v>0</v>
      </c>
      <c r="E33" s="5">
        <v>208</v>
      </c>
      <c r="F33" s="4">
        <v>208</v>
      </c>
      <c r="G33" s="1">
        <v>0</v>
      </c>
      <c r="I33" s="5">
        <v>120</v>
      </c>
      <c r="J33" s="4">
        <v>120</v>
      </c>
      <c r="K33" s="1">
        <v>0</v>
      </c>
      <c r="M33" s="5" t="s">
        <v>252</v>
      </c>
      <c r="N33" s="4" t="s">
        <v>252</v>
      </c>
      <c r="O33" s="1">
        <v>0</v>
      </c>
      <c r="Q33" s="6"/>
      <c r="R33" s="4"/>
      <c r="S33" s="1">
        <v>0</v>
      </c>
      <c r="U33" s="14"/>
      <c r="V33" s="13"/>
      <c r="W33" s="1">
        <v>0</v>
      </c>
      <c r="Y33" s="14"/>
      <c r="Z33" s="13"/>
      <c r="AA33" s="1">
        <v>0</v>
      </c>
      <c r="AC33" s="302">
        <v>2008</v>
      </c>
      <c r="AD33" s="412">
        <v>2008</v>
      </c>
      <c r="AE33" s="1">
        <v>0</v>
      </c>
    </row>
    <row r="34" spans="1:31">
      <c r="B34" s="1">
        <v>0</v>
      </c>
      <c r="C34" s="1">
        <v>28</v>
      </c>
      <c r="D34" s="1">
        <v>0</v>
      </c>
      <c r="E34" s="5">
        <v>208</v>
      </c>
      <c r="F34" s="4">
        <v>208</v>
      </c>
      <c r="G34" s="1">
        <v>0</v>
      </c>
      <c r="I34" s="5">
        <v>120</v>
      </c>
      <c r="J34" s="4">
        <v>120</v>
      </c>
      <c r="K34" s="1">
        <v>0</v>
      </c>
      <c r="M34" s="5" t="s">
        <v>252</v>
      </c>
      <c r="N34" s="4" t="s">
        <v>252</v>
      </c>
      <c r="O34" s="1">
        <v>0</v>
      </c>
      <c r="Q34" s="6"/>
      <c r="R34" s="4"/>
      <c r="S34" s="1">
        <v>0</v>
      </c>
      <c r="U34" s="14"/>
      <c r="V34" s="13"/>
      <c r="W34" s="1">
        <v>0</v>
      </c>
      <c r="Y34" s="14"/>
      <c r="Z34" s="13"/>
      <c r="AA34" s="1">
        <v>0</v>
      </c>
      <c r="AC34" s="302">
        <v>2008</v>
      </c>
      <c r="AD34" s="412">
        <v>2008</v>
      </c>
      <c r="AE34" s="1">
        <v>0</v>
      </c>
    </row>
    <row r="35" spans="1:31">
      <c r="B35" s="1">
        <v>0</v>
      </c>
      <c r="C35" s="1">
        <v>29</v>
      </c>
      <c r="D35" s="1">
        <v>0</v>
      </c>
      <c r="E35" s="5">
        <v>208</v>
      </c>
      <c r="F35" s="4">
        <v>208</v>
      </c>
      <c r="G35" s="1">
        <v>0</v>
      </c>
      <c r="I35" s="5">
        <v>120</v>
      </c>
      <c r="J35" s="4">
        <v>120</v>
      </c>
      <c r="K35" s="1">
        <v>0</v>
      </c>
      <c r="M35" s="5" t="s">
        <v>252</v>
      </c>
      <c r="N35" s="4" t="s">
        <v>252</v>
      </c>
      <c r="O35" s="1">
        <v>0</v>
      </c>
      <c r="Q35" s="6"/>
      <c r="R35" s="4"/>
      <c r="S35" s="1">
        <v>0</v>
      </c>
      <c r="U35" s="14"/>
      <c r="V35" s="13"/>
      <c r="W35" s="1">
        <v>0</v>
      </c>
      <c r="Y35" s="14"/>
      <c r="Z35" s="13"/>
      <c r="AA35" s="1">
        <v>0</v>
      </c>
      <c r="AC35" s="302">
        <v>2008</v>
      </c>
      <c r="AD35" s="412">
        <v>2008</v>
      </c>
      <c r="AE35" s="1">
        <v>0</v>
      </c>
    </row>
    <row r="36" spans="1:31">
      <c r="B36" s="1">
        <v>0</v>
      </c>
      <c r="C36" s="1">
        <v>30</v>
      </c>
      <c r="D36" s="1">
        <v>0</v>
      </c>
      <c r="E36" s="5">
        <v>208</v>
      </c>
      <c r="F36" s="4">
        <v>208</v>
      </c>
      <c r="G36" s="1">
        <v>0</v>
      </c>
      <c r="I36" s="5">
        <v>120</v>
      </c>
      <c r="J36" s="4">
        <v>120</v>
      </c>
      <c r="K36" s="1">
        <v>0</v>
      </c>
      <c r="M36" s="5" t="s">
        <v>252</v>
      </c>
      <c r="N36" s="4" t="s">
        <v>252</v>
      </c>
      <c r="O36" s="1">
        <v>0</v>
      </c>
      <c r="Q36" s="6"/>
      <c r="R36" s="4"/>
      <c r="S36" s="1">
        <v>0</v>
      </c>
      <c r="U36" s="14"/>
      <c r="V36" s="13"/>
      <c r="W36" s="1">
        <v>0</v>
      </c>
      <c r="Y36" s="14"/>
      <c r="Z36" s="13"/>
      <c r="AA36" s="1">
        <v>0</v>
      </c>
      <c r="AC36" s="302">
        <v>2008</v>
      </c>
      <c r="AD36" s="412">
        <v>2008</v>
      </c>
      <c r="AE36" s="1">
        <v>0</v>
      </c>
    </row>
    <row r="39" spans="1:31">
      <c r="A39" s="1" t="s">
        <v>68</v>
      </c>
      <c r="B39" s="1">
        <v>3</v>
      </c>
    </row>
    <row r="40" spans="1:31">
      <c r="A40" s="1" t="s">
        <v>55</v>
      </c>
      <c r="B40" s="1" t="s">
        <v>3</v>
      </c>
    </row>
    <row r="41" spans="1:31">
      <c r="A41" s="1" t="s">
        <v>109</v>
      </c>
      <c r="B41" s="1" t="s">
        <v>3</v>
      </c>
      <c r="C41" s="1" t="s">
        <v>446</v>
      </c>
    </row>
    <row r="43" spans="1:31">
      <c r="B43" s="1">
        <v>1</v>
      </c>
      <c r="C43" s="1">
        <v>1</v>
      </c>
      <c r="D43" s="1">
        <v>0</v>
      </c>
      <c r="E43" s="5">
        <v>208</v>
      </c>
      <c r="F43" s="4">
        <v>208</v>
      </c>
      <c r="G43" s="1">
        <v>0</v>
      </c>
      <c r="I43" s="5">
        <v>120</v>
      </c>
      <c r="J43" s="7">
        <v>120</v>
      </c>
      <c r="K43" s="1">
        <v>0</v>
      </c>
      <c r="M43" s="5" t="s">
        <v>252</v>
      </c>
      <c r="N43" s="7" t="s">
        <v>252</v>
      </c>
      <c r="O43" s="1">
        <v>0</v>
      </c>
      <c r="Q43" s="6">
        <v>16599</v>
      </c>
      <c r="R43" s="4">
        <v>16599</v>
      </c>
      <c r="S43" s="1">
        <v>0</v>
      </c>
      <c r="U43" s="5" t="s">
        <v>3</v>
      </c>
      <c r="V43" s="4" t="s">
        <v>3</v>
      </c>
      <c r="W43" s="1">
        <v>0</v>
      </c>
      <c r="Y43" s="5" t="s">
        <v>3</v>
      </c>
      <c r="Z43" s="4" t="s">
        <v>3</v>
      </c>
      <c r="AA43" s="1">
        <v>0</v>
      </c>
      <c r="AC43" s="5">
        <v>2008</v>
      </c>
      <c r="AD43" s="4">
        <v>2008</v>
      </c>
      <c r="AE43" s="1">
        <v>0</v>
      </c>
    </row>
    <row r="44" spans="1:31">
      <c r="B44" s="1">
        <v>1</v>
      </c>
      <c r="C44" s="1">
        <v>2</v>
      </c>
      <c r="D44" s="1">
        <v>0</v>
      </c>
      <c r="E44" s="5">
        <v>208</v>
      </c>
      <c r="F44" s="4">
        <v>208</v>
      </c>
      <c r="G44" s="1">
        <v>0</v>
      </c>
      <c r="I44" s="5">
        <v>120</v>
      </c>
      <c r="J44" s="4">
        <v>120</v>
      </c>
      <c r="K44" s="1">
        <v>0</v>
      </c>
      <c r="M44" s="5" t="s">
        <v>252</v>
      </c>
      <c r="N44" s="4" t="s">
        <v>252</v>
      </c>
      <c r="O44" s="1">
        <v>0</v>
      </c>
      <c r="Q44" s="6">
        <v>16599</v>
      </c>
      <c r="R44" s="4">
        <v>16599</v>
      </c>
      <c r="S44" s="1">
        <v>0</v>
      </c>
      <c r="U44" s="5" t="s">
        <v>3</v>
      </c>
      <c r="V44" s="4" t="s">
        <v>3</v>
      </c>
      <c r="W44" s="1">
        <v>0</v>
      </c>
      <c r="Y44" s="5" t="s">
        <v>3</v>
      </c>
      <c r="Z44" s="4" t="s">
        <v>3</v>
      </c>
      <c r="AA44" s="1">
        <v>0</v>
      </c>
      <c r="AC44" s="5">
        <v>2008</v>
      </c>
      <c r="AD44" s="4">
        <v>2008</v>
      </c>
      <c r="AE44" s="1">
        <v>0</v>
      </c>
    </row>
    <row r="45" spans="1:31">
      <c r="B45" s="1">
        <v>1</v>
      </c>
      <c r="C45" s="1">
        <v>3</v>
      </c>
      <c r="D45" s="1">
        <v>0</v>
      </c>
      <c r="E45" s="5">
        <v>208</v>
      </c>
      <c r="F45" s="4">
        <v>208</v>
      </c>
      <c r="G45" s="1">
        <v>0</v>
      </c>
      <c r="I45" s="5">
        <v>120</v>
      </c>
      <c r="J45" s="4">
        <v>120</v>
      </c>
      <c r="K45" s="1">
        <v>0</v>
      </c>
      <c r="M45" s="5" t="s">
        <v>252</v>
      </c>
      <c r="N45" s="4" t="s">
        <v>252</v>
      </c>
      <c r="O45" s="1">
        <v>0</v>
      </c>
      <c r="Q45" s="6">
        <v>16599</v>
      </c>
      <c r="R45" s="4">
        <v>16599</v>
      </c>
      <c r="S45" s="1">
        <v>0</v>
      </c>
      <c r="U45" s="5" t="s">
        <v>3</v>
      </c>
      <c r="V45" s="4" t="s">
        <v>3</v>
      </c>
      <c r="W45" s="1">
        <v>0</v>
      </c>
      <c r="Y45" s="5" t="s">
        <v>3</v>
      </c>
      <c r="Z45" s="4" t="s">
        <v>3</v>
      </c>
      <c r="AA45" s="1">
        <v>0</v>
      </c>
      <c r="AC45" s="5">
        <v>2008</v>
      </c>
      <c r="AD45" s="4">
        <v>2008</v>
      </c>
      <c r="AE45" s="1">
        <v>0</v>
      </c>
    </row>
    <row r="46" spans="1:31">
      <c r="B46" s="1">
        <v>0</v>
      </c>
      <c r="C46" s="1">
        <v>4</v>
      </c>
      <c r="D46" s="1">
        <v>0</v>
      </c>
      <c r="E46" s="5">
        <v>208</v>
      </c>
      <c r="F46" s="4">
        <v>208</v>
      </c>
      <c r="G46" s="1">
        <v>0</v>
      </c>
      <c r="I46" s="5">
        <v>120</v>
      </c>
      <c r="J46" s="4">
        <v>120</v>
      </c>
      <c r="K46" s="1">
        <v>0</v>
      </c>
      <c r="M46" s="5" t="s">
        <v>252</v>
      </c>
      <c r="N46" s="4" t="s">
        <v>252</v>
      </c>
      <c r="O46" s="1">
        <v>0</v>
      </c>
      <c r="Q46" s="6">
        <v>16599</v>
      </c>
      <c r="R46" s="4">
        <v>16599</v>
      </c>
      <c r="S46" s="1">
        <v>0</v>
      </c>
      <c r="U46" s="5" t="s">
        <v>3</v>
      </c>
      <c r="V46" s="4" t="s">
        <v>3</v>
      </c>
      <c r="W46" s="1">
        <v>0</v>
      </c>
      <c r="Y46" s="5" t="s">
        <v>3</v>
      </c>
      <c r="Z46" s="4" t="s">
        <v>3</v>
      </c>
      <c r="AA46" s="1">
        <v>0</v>
      </c>
      <c r="AC46" s="5">
        <v>2008</v>
      </c>
      <c r="AD46" s="4">
        <v>2008</v>
      </c>
      <c r="AE46" s="1">
        <v>0</v>
      </c>
    </row>
    <row r="47" spans="1:31">
      <c r="B47" s="1">
        <v>0</v>
      </c>
      <c r="C47" s="1">
        <v>5</v>
      </c>
      <c r="D47" s="1">
        <v>0</v>
      </c>
      <c r="E47" s="5">
        <v>208</v>
      </c>
      <c r="F47" s="4">
        <v>208</v>
      </c>
      <c r="G47" s="1">
        <v>0</v>
      </c>
      <c r="I47" s="5">
        <v>120</v>
      </c>
      <c r="J47" s="4">
        <v>120</v>
      </c>
      <c r="K47" s="1">
        <v>0</v>
      </c>
      <c r="M47" s="5" t="s">
        <v>252</v>
      </c>
      <c r="N47" s="4" t="s">
        <v>252</v>
      </c>
      <c r="O47" s="1">
        <v>0</v>
      </c>
      <c r="Q47" s="6">
        <v>16599</v>
      </c>
      <c r="R47" s="4">
        <v>16599</v>
      </c>
      <c r="S47" s="1">
        <v>0</v>
      </c>
      <c r="U47" s="5" t="s">
        <v>3</v>
      </c>
      <c r="V47" s="4" t="s">
        <v>3</v>
      </c>
      <c r="W47" s="1">
        <v>0</v>
      </c>
      <c r="Y47" s="5" t="s">
        <v>3</v>
      </c>
      <c r="Z47" s="4" t="s">
        <v>3</v>
      </c>
      <c r="AA47" s="1">
        <v>0</v>
      </c>
      <c r="AC47" s="5">
        <v>2008</v>
      </c>
      <c r="AD47" s="4">
        <v>2008</v>
      </c>
      <c r="AE47" s="1">
        <v>0</v>
      </c>
    </row>
    <row r="48" spans="1:31">
      <c r="B48" s="1">
        <v>0</v>
      </c>
      <c r="C48" s="1">
        <v>6</v>
      </c>
      <c r="D48" s="1">
        <v>0</v>
      </c>
      <c r="E48" s="5">
        <v>208</v>
      </c>
      <c r="F48" s="4">
        <v>208</v>
      </c>
      <c r="G48" s="1">
        <v>0</v>
      </c>
      <c r="I48" s="5">
        <v>120</v>
      </c>
      <c r="J48" s="4">
        <v>120</v>
      </c>
      <c r="K48" s="1">
        <v>0</v>
      </c>
      <c r="M48" s="5" t="s">
        <v>252</v>
      </c>
      <c r="N48" s="4" t="s">
        <v>252</v>
      </c>
      <c r="O48" s="1">
        <v>0</v>
      </c>
      <c r="Q48" s="6">
        <v>16599</v>
      </c>
      <c r="R48" s="4">
        <v>16599</v>
      </c>
      <c r="S48" s="1">
        <v>0</v>
      </c>
      <c r="U48" s="5" t="s">
        <v>3</v>
      </c>
      <c r="V48" s="4" t="s">
        <v>3</v>
      </c>
      <c r="W48" s="1">
        <v>0</v>
      </c>
      <c r="Y48" s="5" t="s">
        <v>3</v>
      </c>
      <c r="Z48" s="4" t="s">
        <v>3</v>
      </c>
      <c r="AA48" s="1">
        <v>0</v>
      </c>
      <c r="AC48" s="5">
        <v>2008</v>
      </c>
      <c r="AD48" s="4">
        <v>2008</v>
      </c>
      <c r="AE48" s="1">
        <v>0</v>
      </c>
    </row>
    <row r="49" spans="2:31">
      <c r="B49" s="1">
        <v>0</v>
      </c>
      <c r="C49" s="1">
        <v>7</v>
      </c>
      <c r="D49" s="1">
        <v>0</v>
      </c>
      <c r="E49" s="5">
        <v>208</v>
      </c>
      <c r="F49" s="4">
        <v>208</v>
      </c>
      <c r="G49" s="1">
        <v>0</v>
      </c>
      <c r="I49" s="5">
        <v>120</v>
      </c>
      <c r="J49" s="4">
        <v>120</v>
      </c>
      <c r="K49" s="1">
        <v>0</v>
      </c>
      <c r="M49" s="5" t="s">
        <v>252</v>
      </c>
      <c r="N49" s="4" t="s">
        <v>252</v>
      </c>
      <c r="O49" s="1">
        <v>0</v>
      </c>
      <c r="Q49" s="6">
        <v>16599</v>
      </c>
      <c r="R49" s="4">
        <v>16599</v>
      </c>
      <c r="S49" s="1">
        <v>0</v>
      </c>
      <c r="U49" s="5" t="s">
        <v>3</v>
      </c>
      <c r="V49" s="4" t="s">
        <v>3</v>
      </c>
      <c r="W49" s="1">
        <v>0</v>
      </c>
      <c r="Y49" s="5" t="s">
        <v>3</v>
      </c>
      <c r="Z49" s="4" t="s">
        <v>3</v>
      </c>
      <c r="AA49" s="1">
        <v>0</v>
      </c>
      <c r="AC49" s="5">
        <v>2008</v>
      </c>
      <c r="AD49" s="4">
        <v>2008</v>
      </c>
      <c r="AE49" s="1">
        <v>0</v>
      </c>
    </row>
    <row r="50" spans="2:31">
      <c r="B50" s="1">
        <v>0</v>
      </c>
      <c r="C50" s="1">
        <v>8</v>
      </c>
      <c r="D50" s="1">
        <v>0</v>
      </c>
      <c r="E50" s="5">
        <v>208</v>
      </c>
      <c r="F50" s="4">
        <v>208</v>
      </c>
      <c r="G50" s="1">
        <v>0</v>
      </c>
      <c r="I50" s="5">
        <v>120</v>
      </c>
      <c r="J50" s="4">
        <v>120</v>
      </c>
      <c r="K50" s="1">
        <v>0</v>
      </c>
      <c r="M50" s="5" t="s">
        <v>252</v>
      </c>
      <c r="N50" s="4" t="s">
        <v>252</v>
      </c>
      <c r="O50" s="1">
        <v>0</v>
      </c>
      <c r="Q50" s="6">
        <v>16599</v>
      </c>
      <c r="R50" s="4">
        <v>16599</v>
      </c>
      <c r="S50" s="1">
        <v>0</v>
      </c>
      <c r="U50" s="5" t="s">
        <v>3</v>
      </c>
      <c r="V50" s="4" t="s">
        <v>3</v>
      </c>
      <c r="W50" s="1">
        <v>0</v>
      </c>
      <c r="Y50" s="5" t="s">
        <v>3</v>
      </c>
      <c r="Z50" s="4" t="s">
        <v>3</v>
      </c>
      <c r="AA50" s="1">
        <v>0</v>
      </c>
      <c r="AC50" s="5">
        <v>2008</v>
      </c>
      <c r="AD50" s="4">
        <v>2008</v>
      </c>
      <c r="AE50" s="1">
        <v>0</v>
      </c>
    </row>
    <row r="51" spans="2:31">
      <c r="B51" s="1">
        <v>0</v>
      </c>
      <c r="C51" s="1">
        <v>9</v>
      </c>
      <c r="D51" s="1">
        <v>0</v>
      </c>
      <c r="E51" s="5">
        <v>208</v>
      </c>
      <c r="F51" s="4">
        <v>208</v>
      </c>
      <c r="G51" s="1">
        <v>0</v>
      </c>
      <c r="I51" s="5">
        <v>120</v>
      </c>
      <c r="J51" s="4">
        <v>120</v>
      </c>
      <c r="K51" s="1">
        <v>0</v>
      </c>
      <c r="M51" s="5" t="s">
        <v>252</v>
      </c>
      <c r="N51" s="4" t="s">
        <v>252</v>
      </c>
      <c r="O51" s="1">
        <v>0</v>
      </c>
      <c r="Q51" s="6">
        <v>16599</v>
      </c>
      <c r="R51" s="4">
        <v>16599</v>
      </c>
      <c r="S51" s="1">
        <v>0</v>
      </c>
      <c r="U51" s="5" t="s">
        <v>3</v>
      </c>
      <c r="V51" s="4" t="s">
        <v>3</v>
      </c>
      <c r="W51" s="1">
        <v>0</v>
      </c>
      <c r="Y51" s="5" t="s">
        <v>3</v>
      </c>
      <c r="Z51" s="4" t="s">
        <v>3</v>
      </c>
      <c r="AA51" s="1">
        <v>0</v>
      </c>
      <c r="AC51" s="5">
        <v>2008</v>
      </c>
      <c r="AD51" s="4">
        <v>2008</v>
      </c>
      <c r="AE51" s="1">
        <v>0</v>
      </c>
    </row>
    <row r="52" spans="2:31">
      <c r="B52" s="1">
        <v>0</v>
      </c>
      <c r="C52" s="1">
        <v>10</v>
      </c>
      <c r="D52" s="1">
        <v>0</v>
      </c>
      <c r="E52" s="5">
        <v>208</v>
      </c>
      <c r="F52" s="4">
        <v>208</v>
      </c>
      <c r="G52" s="1">
        <v>0</v>
      </c>
      <c r="I52" s="5">
        <v>120</v>
      </c>
      <c r="J52" s="4">
        <v>120</v>
      </c>
      <c r="K52" s="1">
        <v>0</v>
      </c>
      <c r="M52" s="5" t="s">
        <v>252</v>
      </c>
      <c r="N52" s="4" t="s">
        <v>252</v>
      </c>
      <c r="O52" s="1">
        <v>0</v>
      </c>
      <c r="Q52" s="6">
        <v>16599</v>
      </c>
      <c r="R52" s="4">
        <v>16599</v>
      </c>
      <c r="S52" s="1">
        <v>0</v>
      </c>
      <c r="U52" s="5" t="s">
        <v>3</v>
      </c>
      <c r="V52" s="4" t="s">
        <v>3</v>
      </c>
      <c r="W52" s="1">
        <v>0</v>
      </c>
      <c r="Y52" s="5" t="s">
        <v>3</v>
      </c>
      <c r="Z52" s="4" t="s">
        <v>3</v>
      </c>
      <c r="AA52" s="1">
        <v>0</v>
      </c>
      <c r="AC52" s="5">
        <v>2008</v>
      </c>
      <c r="AD52" s="4">
        <v>2008</v>
      </c>
      <c r="AE52" s="1">
        <v>0</v>
      </c>
    </row>
    <row r="53" spans="2:31">
      <c r="J53" s="2"/>
    </row>
    <row r="54" spans="2:31">
      <c r="N54" s="1">
        <v>208</v>
      </c>
    </row>
    <row r="57" spans="2:31">
      <c r="E57" s="9" t="s">
        <v>729</v>
      </c>
      <c r="F57" s="1">
        <v>1</v>
      </c>
      <c r="G57" s="1" t="s">
        <v>731</v>
      </c>
      <c r="J57" s="1" t="s">
        <v>876</v>
      </c>
      <c r="N57" s="1">
        <v>2008</v>
      </c>
    </row>
    <row r="58" spans="2:31">
      <c r="E58" s="9" t="s">
        <v>729</v>
      </c>
      <c r="F58" s="1">
        <v>2</v>
      </c>
      <c r="G58" s="1" t="s">
        <v>731</v>
      </c>
      <c r="J58" s="1" t="s">
        <v>877</v>
      </c>
      <c r="N58" s="1">
        <v>2008</v>
      </c>
    </row>
    <row r="59" spans="2:31">
      <c r="E59" s="9" t="s">
        <v>729</v>
      </c>
      <c r="F59" s="1">
        <v>3</v>
      </c>
      <c r="G59" s="1" t="s">
        <v>731</v>
      </c>
      <c r="J59" s="1" t="s">
        <v>878</v>
      </c>
      <c r="N59" s="1">
        <v>2008</v>
      </c>
    </row>
    <row r="60" spans="2:31">
      <c r="E60" s="9" t="s">
        <v>729</v>
      </c>
      <c r="F60" s="1">
        <v>4</v>
      </c>
      <c r="G60" s="1" t="s">
        <v>731</v>
      </c>
      <c r="J60" s="1" t="s">
        <v>879</v>
      </c>
      <c r="N60" s="1">
        <v>2008</v>
      </c>
    </row>
    <row r="61" spans="2:31">
      <c r="E61" s="9" t="s">
        <v>729</v>
      </c>
      <c r="F61" s="1">
        <v>5</v>
      </c>
      <c r="G61" s="1" t="s">
        <v>731</v>
      </c>
      <c r="J61" s="1" t="s">
        <v>880</v>
      </c>
      <c r="N61" s="1">
        <v>2008</v>
      </c>
    </row>
    <row r="62" spans="2:31">
      <c r="E62" s="9" t="s">
        <v>729</v>
      </c>
      <c r="F62" s="1">
        <v>6</v>
      </c>
      <c r="G62" s="1" t="s">
        <v>731</v>
      </c>
      <c r="J62" s="1" t="s">
        <v>881</v>
      </c>
      <c r="N62" s="1">
        <v>2008</v>
      </c>
    </row>
    <row r="63" spans="2:31">
      <c r="E63" s="9" t="s">
        <v>729</v>
      </c>
      <c r="F63" s="1">
        <v>7</v>
      </c>
      <c r="G63" s="1" t="s">
        <v>731</v>
      </c>
      <c r="J63" s="1" t="s">
        <v>882</v>
      </c>
      <c r="N63" s="1">
        <v>2008</v>
      </c>
    </row>
    <row r="64" spans="2:31">
      <c r="E64" s="9" t="s">
        <v>729</v>
      </c>
      <c r="F64" s="1">
        <v>8</v>
      </c>
      <c r="G64" s="1" t="s">
        <v>731</v>
      </c>
      <c r="J64" s="1" t="s">
        <v>883</v>
      </c>
      <c r="N64" s="1">
        <v>2008</v>
      </c>
    </row>
    <row r="65" spans="5:14">
      <c r="E65" s="9" t="s">
        <v>729</v>
      </c>
      <c r="F65" s="1">
        <v>9</v>
      </c>
      <c r="G65" s="1" t="s">
        <v>731</v>
      </c>
      <c r="J65" s="1" t="s">
        <v>884</v>
      </c>
      <c r="N65" s="1">
        <v>2008</v>
      </c>
    </row>
    <row r="66" spans="5:14">
      <c r="E66" s="9" t="s">
        <v>729</v>
      </c>
      <c r="F66" s="1">
        <v>10</v>
      </c>
      <c r="G66" s="1" t="s">
        <v>731</v>
      </c>
      <c r="J66" s="1" t="s">
        <v>885</v>
      </c>
      <c r="N66" s="1">
        <v>2008</v>
      </c>
    </row>
    <row r="67" spans="5:14">
      <c r="E67" s="9" t="s">
        <v>729</v>
      </c>
      <c r="F67" s="1">
        <v>11</v>
      </c>
      <c r="G67" s="1" t="s">
        <v>731</v>
      </c>
      <c r="J67" s="1" t="s">
        <v>886</v>
      </c>
      <c r="N67" s="1">
        <v>0</v>
      </c>
    </row>
    <row r="68" spans="5:14">
      <c r="E68" s="9" t="s">
        <v>729</v>
      </c>
      <c r="F68" s="1">
        <v>12</v>
      </c>
      <c r="G68" s="1" t="s">
        <v>731</v>
      </c>
      <c r="J68" s="1" t="s">
        <v>887</v>
      </c>
      <c r="N68" s="1">
        <v>0</v>
      </c>
    </row>
    <row r="69" spans="5:14">
      <c r="E69" s="9" t="s">
        <v>729</v>
      </c>
      <c r="F69" s="1">
        <v>13</v>
      </c>
      <c r="G69" s="1" t="s">
        <v>731</v>
      </c>
      <c r="J69" s="1" t="s">
        <v>888</v>
      </c>
      <c r="N69" s="1">
        <v>0</v>
      </c>
    </row>
    <row r="70" spans="5:14">
      <c r="E70" s="9" t="s">
        <v>729</v>
      </c>
      <c r="F70" s="1">
        <v>14</v>
      </c>
      <c r="G70" s="1" t="s">
        <v>731</v>
      </c>
      <c r="J70" s="1" t="s">
        <v>889</v>
      </c>
      <c r="N70" s="1">
        <v>0</v>
      </c>
    </row>
    <row r="71" spans="5:14">
      <c r="E71" s="9" t="s">
        <v>729</v>
      </c>
      <c r="F71" s="1">
        <v>15</v>
      </c>
      <c r="G71" s="1" t="s">
        <v>731</v>
      </c>
      <c r="J71" s="1" t="s">
        <v>890</v>
      </c>
      <c r="N71" s="1">
        <v>0</v>
      </c>
    </row>
    <row r="72" spans="5:14">
      <c r="E72" s="9" t="s">
        <v>729</v>
      </c>
      <c r="F72" s="1">
        <v>16</v>
      </c>
      <c r="G72" s="1" t="s">
        <v>731</v>
      </c>
      <c r="J72" s="1" t="s">
        <v>891</v>
      </c>
      <c r="N72" s="1">
        <v>0</v>
      </c>
    </row>
    <row r="73" spans="5:14">
      <c r="E73" s="9" t="s">
        <v>729</v>
      </c>
      <c r="F73" s="1">
        <v>17</v>
      </c>
      <c r="G73" s="1" t="s">
        <v>731</v>
      </c>
      <c r="J73" s="1" t="s">
        <v>892</v>
      </c>
      <c r="N73" s="1">
        <v>0</v>
      </c>
    </row>
    <row r="74" spans="5:14">
      <c r="E74" s="9" t="s">
        <v>729</v>
      </c>
      <c r="F74" s="1">
        <v>18</v>
      </c>
      <c r="G74" s="1" t="s">
        <v>731</v>
      </c>
      <c r="J74" s="1" t="s">
        <v>893</v>
      </c>
      <c r="N74" s="1">
        <v>0</v>
      </c>
    </row>
    <row r="75" spans="5:14">
      <c r="E75" s="9" t="s">
        <v>729</v>
      </c>
      <c r="F75" s="1">
        <v>19</v>
      </c>
      <c r="G75" s="1" t="s">
        <v>730</v>
      </c>
      <c r="J75" s="1" t="s">
        <v>894</v>
      </c>
      <c r="N75" s="1">
        <v>0</v>
      </c>
    </row>
    <row r="76" spans="5:14">
      <c r="E76" s="9" t="s">
        <v>729</v>
      </c>
      <c r="F76" s="1">
        <v>20</v>
      </c>
      <c r="G76" s="1" t="s">
        <v>730</v>
      </c>
      <c r="J76" s="1" t="s">
        <v>895</v>
      </c>
      <c r="N76" s="1">
        <v>0</v>
      </c>
    </row>
    <row r="77" spans="5:14">
      <c r="E77" s="9" t="s">
        <v>729</v>
      </c>
      <c r="F77" s="1">
        <v>21</v>
      </c>
      <c r="G77" s="1" t="s">
        <v>730</v>
      </c>
      <c r="J77" s="1" t="s">
        <v>896</v>
      </c>
      <c r="N77" s="1">
        <v>0</v>
      </c>
    </row>
    <row r="78" spans="5:14">
      <c r="E78" s="9" t="s">
        <v>729</v>
      </c>
      <c r="F78" s="1">
        <v>22</v>
      </c>
      <c r="G78" s="1" t="s">
        <v>730</v>
      </c>
      <c r="J78" s="1" t="s">
        <v>897</v>
      </c>
      <c r="N78" s="1">
        <v>0</v>
      </c>
    </row>
    <row r="79" spans="5:14">
      <c r="E79" s="9" t="s">
        <v>729</v>
      </c>
      <c r="F79" s="1">
        <v>23</v>
      </c>
      <c r="G79" s="1" t="s">
        <v>730</v>
      </c>
      <c r="J79" s="1" t="s">
        <v>898</v>
      </c>
      <c r="N79" s="1">
        <v>0</v>
      </c>
    </row>
    <row r="80" spans="5:14">
      <c r="E80" s="9" t="s">
        <v>729</v>
      </c>
      <c r="F80" s="1">
        <v>24</v>
      </c>
      <c r="G80" s="1" t="s">
        <v>730</v>
      </c>
      <c r="J80" s="1" t="s">
        <v>899</v>
      </c>
      <c r="N80" s="1">
        <v>0</v>
      </c>
    </row>
    <row r="81" spans="5:14">
      <c r="E81" s="9" t="s">
        <v>729</v>
      </c>
      <c r="F81" s="1">
        <v>25</v>
      </c>
      <c r="G81" s="1" t="s">
        <v>730</v>
      </c>
      <c r="J81" s="1" t="s">
        <v>900</v>
      </c>
      <c r="N81" s="1">
        <v>0</v>
      </c>
    </row>
    <row r="82" spans="5:14">
      <c r="E82" s="9" t="s">
        <v>729</v>
      </c>
      <c r="F82" s="1">
        <v>26</v>
      </c>
      <c r="G82" s="1" t="s">
        <v>730</v>
      </c>
      <c r="J82" s="1" t="s">
        <v>901</v>
      </c>
      <c r="N82" s="1">
        <v>0</v>
      </c>
    </row>
    <row r="83" spans="5:14">
      <c r="E83" s="9" t="s">
        <v>729</v>
      </c>
      <c r="F83" s="1">
        <v>27</v>
      </c>
      <c r="G83" s="1" t="s">
        <v>730</v>
      </c>
      <c r="J83" s="1" t="s">
        <v>902</v>
      </c>
      <c r="N83" s="1">
        <v>0</v>
      </c>
    </row>
    <row r="84" spans="5:14">
      <c r="E84" s="9" t="s">
        <v>729</v>
      </c>
      <c r="F84" s="1">
        <v>28</v>
      </c>
      <c r="G84" s="1" t="s">
        <v>730</v>
      </c>
      <c r="J84" s="1" t="s">
        <v>903</v>
      </c>
      <c r="N84" s="1">
        <v>0</v>
      </c>
    </row>
    <row r="85" spans="5:14">
      <c r="E85" s="9" t="s">
        <v>729</v>
      </c>
      <c r="F85" s="1">
        <v>29</v>
      </c>
      <c r="G85" s="1" t="s">
        <v>730</v>
      </c>
      <c r="J85" s="1" t="s">
        <v>904</v>
      </c>
      <c r="N85" s="1">
        <v>0</v>
      </c>
    </row>
    <row r="86" spans="5:14">
      <c r="E86" s="9" t="s">
        <v>729</v>
      </c>
      <c r="F86" s="1">
        <v>30</v>
      </c>
      <c r="G86" s="1" t="s">
        <v>730</v>
      </c>
      <c r="J86" s="1" t="s">
        <v>905</v>
      </c>
      <c r="N86" s="1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10"/>
  <sheetViews>
    <sheetView workbookViewId="0">
      <selection activeCell="C11" sqref="C11"/>
    </sheetView>
  </sheetViews>
  <sheetFormatPr defaultRowHeight="11.25"/>
  <cols>
    <col min="1" max="8" width="9.140625" style="1"/>
    <col min="9" max="9" width="14" style="1" customWidth="1"/>
    <col min="10" max="16384" width="9.140625" style="1"/>
  </cols>
  <sheetData>
    <row r="1" spans="1:17">
      <c r="E1" s="1" t="s">
        <v>71</v>
      </c>
      <c r="F1" s="1" t="s">
        <v>71</v>
      </c>
      <c r="G1" s="1" t="s">
        <v>71</v>
      </c>
      <c r="H1" s="12" t="s">
        <v>107</v>
      </c>
      <c r="J1" s="1" t="s">
        <v>49</v>
      </c>
      <c r="K1" s="1" t="s">
        <v>55</v>
      </c>
      <c r="L1" s="1" t="s">
        <v>120</v>
      </c>
      <c r="M1" s="21" t="s">
        <v>112</v>
      </c>
      <c r="N1" s="21" t="s">
        <v>314</v>
      </c>
      <c r="O1" s="21" t="s">
        <v>314</v>
      </c>
      <c r="P1" s="21" t="s">
        <v>314</v>
      </c>
      <c r="Q1" s="21" t="s">
        <v>314</v>
      </c>
    </row>
    <row r="2" spans="1:17">
      <c r="E2" s="1" t="s">
        <v>4</v>
      </c>
      <c r="F2" s="1" t="s">
        <v>72</v>
      </c>
      <c r="G2" s="1" t="s">
        <v>41</v>
      </c>
      <c r="H2" s="12" t="s">
        <v>108</v>
      </c>
      <c r="M2" s="21">
        <v>1</v>
      </c>
      <c r="N2" s="21">
        <v>2</v>
      </c>
      <c r="O2" s="21">
        <v>3</v>
      </c>
      <c r="P2" s="21">
        <v>4</v>
      </c>
      <c r="Q2" s="21">
        <v>5</v>
      </c>
    </row>
    <row r="3" spans="1:17">
      <c r="A3" s="1" t="s">
        <v>252</v>
      </c>
    </row>
    <row r="4" spans="1:17">
      <c r="A4" s="1" t="s">
        <v>3</v>
      </c>
      <c r="E4" s="7">
        <v>0</v>
      </c>
      <c r="F4" s="4" t="s">
        <v>906</v>
      </c>
      <c r="G4" s="7">
        <v>1</v>
      </c>
      <c r="H4" s="4" t="s">
        <v>907</v>
      </c>
      <c r="I4" s="5" t="s">
        <v>908</v>
      </c>
      <c r="K4" s="4" t="s">
        <v>909</v>
      </c>
      <c r="L4" s="4" t="s">
        <v>910</v>
      </c>
      <c r="M4" s="4" t="s">
        <v>911</v>
      </c>
      <c r="N4" s="4" t="s">
        <v>912</v>
      </c>
      <c r="O4" s="4" t="s">
        <v>913</v>
      </c>
      <c r="P4" s="4" t="s">
        <v>118</v>
      </c>
      <c r="Q4" s="4" t="s">
        <v>118</v>
      </c>
    </row>
    <row r="7" spans="1:17">
      <c r="G7" s="1" t="s">
        <v>810</v>
      </c>
    </row>
    <row r="8" spans="1:17">
      <c r="G8" s="1" t="s">
        <v>811</v>
      </c>
    </row>
    <row r="9" spans="1:17">
      <c r="G9" s="1" t="s">
        <v>41</v>
      </c>
    </row>
    <row r="10" spans="1:17">
      <c r="G10" s="7">
        <v>1</v>
      </c>
    </row>
  </sheetData>
  <phoneticPr fontId="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F7" sqref="A1:IV65536"/>
    </sheetView>
  </sheetViews>
  <sheetFormatPr defaultRowHeight="11.25"/>
  <cols>
    <col min="1" max="2" width="9.140625" style="1"/>
    <col min="3" max="3" width="17.85546875" style="1" customWidth="1"/>
    <col min="4" max="7" width="9.140625" style="1"/>
    <col min="8" max="8" width="12.42578125" style="1" customWidth="1"/>
    <col min="9" max="16384" width="9.140625" style="1"/>
  </cols>
  <sheetData>
    <row r="1" spans="1:16">
      <c r="D1" s="1" t="s">
        <v>71</v>
      </c>
      <c r="E1" s="1" t="s">
        <v>71</v>
      </c>
      <c r="F1" s="1" t="s">
        <v>71</v>
      </c>
      <c r="G1" s="12" t="s">
        <v>107</v>
      </c>
      <c r="I1" s="1" t="s">
        <v>49</v>
      </c>
      <c r="J1" s="1" t="s">
        <v>55</v>
      </c>
      <c r="K1" s="1" t="s">
        <v>120</v>
      </c>
      <c r="L1" s="21" t="s">
        <v>112</v>
      </c>
      <c r="M1" s="21" t="s">
        <v>314</v>
      </c>
      <c r="N1" s="21" t="s">
        <v>314</v>
      </c>
      <c r="O1" s="21" t="s">
        <v>314</v>
      </c>
      <c r="P1" s="21" t="s">
        <v>314</v>
      </c>
    </row>
    <row r="2" spans="1:16">
      <c r="A2" s="1" t="s">
        <v>252</v>
      </c>
      <c r="D2" s="1" t="s">
        <v>4</v>
      </c>
      <c r="E2" s="1" t="s">
        <v>72</v>
      </c>
      <c r="F2" s="1" t="s">
        <v>41</v>
      </c>
      <c r="G2" s="12" t="s">
        <v>108</v>
      </c>
      <c r="L2" s="21">
        <v>1</v>
      </c>
      <c r="M2" s="21">
        <v>2</v>
      </c>
      <c r="N2" s="21">
        <v>3</v>
      </c>
      <c r="O2" s="21">
        <v>4</v>
      </c>
      <c r="P2" s="21">
        <v>5</v>
      </c>
    </row>
    <row r="3" spans="1:16">
      <c r="A3" s="1" t="s">
        <v>732</v>
      </c>
      <c r="B3" s="1">
        <v>10</v>
      </c>
      <c r="G3" s="12"/>
    </row>
    <row r="4" spans="1:16">
      <c r="G4" s="12"/>
    </row>
    <row r="5" spans="1:16">
      <c r="G5" s="12"/>
    </row>
    <row r="6" spans="1:16">
      <c r="G6" s="12"/>
    </row>
    <row r="7" spans="1:16">
      <c r="B7" s="1">
        <v>1</v>
      </c>
      <c r="C7" s="1">
        <v>1</v>
      </c>
      <c r="D7" s="7">
        <v>0</v>
      </c>
      <c r="E7" s="433" t="s">
        <v>914</v>
      </c>
      <c r="F7" s="7">
        <v>1</v>
      </c>
      <c r="G7" s="4" t="s">
        <v>915</v>
      </c>
      <c r="H7" s="5" t="s">
        <v>908</v>
      </c>
      <c r="I7" s="4" t="s">
        <v>916</v>
      </c>
      <c r="J7" s="4" t="s">
        <v>909</v>
      </c>
      <c r="K7" s="4" t="s">
        <v>917</v>
      </c>
      <c r="L7" s="4" t="s">
        <v>918</v>
      </c>
      <c r="M7" s="4" t="s">
        <v>919</v>
      </c>
      <c r="N7" s="4" t="s">
        <v>920</v>
      </c>
      <c r="O7" s="4" t="s">
        <v>118</v>
      </c>
      <c r="P7" s="4" t="s">
        <v>118</v>
      </c>
    </row>
    <row r="8" spans="1:16">
      <c r="B8" s="1">
        <v>1</v>
      </c>
      <c r="C8" s="1">
        <v>2</v>
      </c>
      <c r="D8" s="7">
        <v>0</v>
      </c>
      <c r="E8" s="4" t="s">
        <v>914</v>
      </c>
      <c r="F8" s="4">
        <v>1</v>
      </c>
      <c r="G8" s="4" t="s">
        <v>915</v>
      </c>
      <c r="H8" s="5" t="s">
        <v>908</v>
      </c>
      <c r="I8" s="4" t="s">
        <v>916</v>
      </c>
      <c r="J8" s="4" t="s">
        <v>909</v>
      </c>
      <c r="K8" s="4" t="s">
        <v>917</v>
      </c>
      <c r="L8" s="4" t="s">
        <v>918</v>
      </c>
      <c r="M8" s="4" t="s">
        <v>919</v>
      </c>
      <c r="N8" s="4" t="s">
        <v>920</v>
      </c>
      <c r="O8" s="4" t="s">
        <v>118</v>
      </c>
      <c r="P8" s="4" t="s">
        <v>118</v>
      </c>
    </row>
    <row r="9" spans="1:16">
      <c r="B9" s="1">
        <v>1</v>
      </c>
      <c r="C9" s="1">
        <v>3</v>
      </c>
      <c r="D9" s="7">
        <v>0</v>
      </c>
      <c r="E9" s="4" t="s">
        <v>914</v>
      </c>
      <c r="F9" s="4">
        <v>1</v>
      </c>
      <c r="G9" s="4" t="s">
        <v>915</v>
      </c>
      <c r="H9" s="5" t="s">
        <v>908</v>
      </c>
      <c r="I9" s="4" t="s">
        <v>916</v>
      </c>
      <c r="J9" s="4" t="s">
        <v>909</v>
      </c>
      <c r="K9" s="4" t="s">
        <v>917</v>
      </c>
      <c r="L9" s="4" t="s">
        <v>918</v>
      </c>
      <c r="M9" s="4" t="s">
        <v>919</v>
      </c>
      <c r="N9" s="4" t="s">
        <v>920</v>
      </c>
      <c r="O9" s="4" t="s">
        <v>118</v>
      </c>
      <c r="P9" s="4" t="s">
        <v>118</v>
      </c>
    </row>
    <row r="10" spans="1:16">
      <c r="B10" s="1">
        <v>1</v>
      </c>
      <c r="C10" s="1">
        <v>4</v>
      </c>
      <c r="D10" s="7">
        <v>0</v>
      </c>
      <c r="E10" s="4" t="s">
        <v>914</v>
      </c>
      <c r="F10" s="4">
        <v>1</v>
      </c>
      <c r="G10" s="4" t="s">
        <v>915</v>
      </c>
      <c r="H10" s="5" t="s">
        <v>908</v>
      </c>
      <c r="I10" s="4" t="s">
        <v>916</v>
      </c>
      <c r="J10" s="4" t="s">
        <v>909</v>
      </c>
      <c r="K10" s="4" t="s">
        <v>917</v>
      </c>
      <c r="L10" s="4" t="s">
        <v>918</v>
      </c>
      <c r="M10" s="4" t="s">
        <v>919</v>
      </c>
      <c r="N10" s="4" t="s">
        <v>920</v>
      </c>
      <c r="O10" s="4" t="s">
        <v>118</v>
      </c>
      <c r="P10" s="4" t="s">
        <v>118</v>
      </c>
    </row>
    <row r="11" spans="1:16">
      <c r="B11" s="1">
        <v>1</v>
      </c>
      <c r="C11" s="1">
        <v>5</v>
      </c>
      <c r="D11" s="7">
        <v>0</v>
      </c>
      <c r="E11" s="4" t="s">
        <v>914</v>
      </c>
      <c r="F11" s="4">
        <v>1</v>
      </c>
      <c r="G11" s="4" t="s">
        <v>915</v>
      </c>
      <c r="H11" s="5" t="s">
        <v>908</v>
      </c>
      <c r="I11" s="4" t="s">
        <v>916</v>
      </c>
      <c r="J11" s="4" t="s">
        <v>909</v>
      </c>
      <c r="K11" s="4" t="s">
        <v>917</v>
      </c>
      <c r="L11" s="4" t="s">
        <v>918</v>
      </c>
      <c r="M11" s="4" t="s">
        <v>919</v>
      </c>
      <c r="N11" s="4" t="s">
        <v>920</v>
      </c>
      <c r="O11" s="4" t="s">
        <v>118</v>
      </c>
      <c r="P11" s="4" t="s">
        <v>118</v>
      </c>
    </row>
    <row r="12" spans="1:16">
      <c r="B12" s="1">
        <v>1</v>
      </c>
      <c r="C12" s="1">
        <v>6</v>
      </c>
      <c r="D12" s="7">
        <v>0</v>
      </c>
      <c r="E12" s="4" t="s">
        <v>914</v>
      </c>
      <c r="F12" s="4">
        <v>1</v>
      </c>
      <c r="G12" s="4" t="s">
        <v>915</v>
      </c>
      <c r="H12" s="5" t="s">
        <v>908</v>
      </c>
      <c r="I12" s="4" t="s">
        <v>916</v>
      </c>
      <c r="J12" s="4" t="s">
        <v>909</v>
      </c>
      <c r="K12" s="4" t="s">
        <v>917</v>
      </c>
      <c r="L12" s="4" t="s">
        <v>918</v>
      </c>
      <c r="M12" s="4" t="s">
        <v>919</v>
      </c>
      <c r="N12" s="4" t="s">
        <v>920</v>
      </c>
      <c r="O12" s="4" t="s">
        <v>118</v>
      </c>
      <c r="P12" s="4" t="s">
        <v>118</v>
      </c>
    </row>
    <row r="13" spans="1:16">
      <c r="B13" s="1">
        <v>1</v>
      </c>
      <c r="C13" s="1">
        <v>7</v>
      </c>
      <c r="D13" s="7">
        <v>0</v>
      </c>
      <c r="E13" s="4" t="s">
        <v>914</v>
      </c>
      <c r="F13" s="4">
        <v>1</v>
      </c>
      <c r="G13" s="4" t="s">
        <v>915</v>
      </c>
      <c r="H13" s="5" t="s">
        <v>908</v>
      </c>
      <c r="I13" s="4" t="s">
        <v>916</v>
      </c>
      <c r="J13" s="4" t="s">
        <v>909</v>
      </c>
      <c r="K13" s="4" t="s">
        <v>917</v>
      </c>
      <c r="L13" s="4" t="s">
        <v>918</v>
      </c>
      <c r="M13" s="4" t="s">
        <v>919</v>
      </c>
      <c r="N13" s="4" t="s">
        <v>920</v>
      </c>
      <c r="O13" s="4" t="s">
        <v>118</v>
      </c>
      <c r="P13" s="4" t="s">
        <v>118</v>
      </c>
    </row>
    <row r="14" spans="1:16">
      <c r="B14" s="1">
        <v>1</v>
      </c>
      <c r="C14" s="1">
        <v>8</v>
      </c>
      <c r="D14" s="7">
        <v>0</v>
      </c>
      <c r="E14" s="4" t="s">
        <v>914</v>
      </c>
      <c r="F14" s="4">
        <v>1</v>
      </c>
      <c r="G14" s="4" t="s">
        <v>915</v>
      </c>
      <c r="H14" s="5" t="s">
        <v>908</v>
      </c>
      <c r="I14" s="4" t="s">
        <v>916</v>
      </c>
      <c r="J14" s="4" t="s">
        <v>909</v>
      </c>
      <c r="K14" s="4" t="s">
        <v>917</v>
      </c>
      <c r="L14" s="4" t="s">
        <v>918</v>
      </c>
      <c r="M14" s="4" t="s">
        <v>919</v>
      </c>
      <c r="N14" s="4" t="s">
        <v>920</v>
      </c>
      <c r="O14" s="4" t="s">
        <v>118</v>
      </c>
      <c r="P14" s="4" t="s">
        <v>118</v>
      </c>
    </row>
    <row r="15" spans="1:16">
      <c r="B15" s="1">
        <v>1</v>
      </c>
      <c r="C15" s="1">
        <v>9</v>
      </c>
      <c r="D15" s="7">
        <v>0</v>
      </c>
      <c r="E15" s="4" t="s">
        <v>914</v>
      </c>
      <c r="F15" s="4">
        <v>1</v>
      </c>
      <c r="G15" s="4" t="s">
        <v>915</v>
      </c>
      <c r="H15" s="5" t="s">
        <v>908</v>
      </c>
      <c r="I15" s="4" t="s">
        <v>916</v>
      </c>
      <c r="J15" s="4" t="s">
        <v>909</v>
      </c>
      <c r="K15" s="4" t="s">
        <v>917</v>
      </c>
      <c r="L15" s="4" t="s">
        <v>918</v>
      </c>
      <c r="M15" s="4" t="s">
        <v>919</v>
      </c>
      <c r="N15" s="4" t="s">
        <v>920</v>
      </c>
      <c r="O15" s="4" t="s">
        <v>118</v>
      </c>
      <c r="P15" s="4" t="s">
        <v>118</v>
      </c>
    </row>
    <row r="16" spans="1:16">
      <c r="B16" s="1">
        <v>1</v>
      </c>
      <c r="C16" s="1">
        <v>10</v>
      </c>
      <c r="D16" s="7">
        <v>0</v>
      </c>
      <c r="E16" s="4" t="s">
        <v>914</v>
      </c>
      <c r="F16" s="4">
        <v>1</v>
      </c>
      <c r="G16" s="4" t="s">
        <v>915</v>
      </c>
      <c r="H16" s="5" t="s">
        <v>908</v>
      </c>
      <c r="I16" s="4" t="s">
        <v>916</v>
      </c>
      <c r="J16" s="4" t="s">
        <v>909</v>
      </c>
      <c r="K16" s="4" t="s">
        <v>917</v>
      </c>
      <c r="L16" s="4" t="s">
        <v>918</v>
      </c>
      <c r="M16" s="4" t="s">
        <v>919</v>
      </c>
      <c r="N16" s="4" t="s">
        <v>920</v>
      </c>
      <c r="O16" s="4" t="s">
        <v>118</v>
      </c>
      <c r="P16" s="4" t="s">
        <v>118</v>
      </c>
    </row>
    <row r="27" spans="1:13">
      <c r="A27" s="9" t="s">
        <v>105</v>
      </c>
      <c r="B27" s="1">
        <v>7</v>
      </c>
      <c r="C27" s="9" t="s">
        <v>733</v>
      </c>
      <c r="D27" s="9">
        <v>1</v>
      </c>
      <c r="E27" s="9" t="s">
        <v>734</v>
      </c>
      <c r="F27" s="9"/>
      <c r="G27" s="11"/>
      <c r="H27" s="10" t="s">
        <v>921</v>
      </c>
      <c r="M27" s="1" t="s">
        <v>914</v>
      </c>
    </row>
    <row r="28" spans="1:13">
      <c r="A28" s="9" t="s">
        <v>105</v>
      </c>
      <c r="B28" s="1">
        <v>8</v>
      </c>
      <c r="C28" s="9" t="s">
        <v>733</v>
      </c>
      <c r="D28" s="9">
        <v>2</v>
      </c>
      <c r="E28" s="9" t="s">
        <v>734</v>
      </c>
      <c r="F28" s="9"/>
      <c r="G28" s="11"/>
      <c r="H28" s="10" t="s">
        <v>922</v>
      </c>
      <c r="M28" s="1" t="s">
        <v>914</v>
      </c>
    </row>
    <row r="29" spans="1:13">
      <c r="A29" s="9" t="s">
        <v>105</v>
      </c>
      <c r="B29" s="1">
        <v>9</v>
      </c>
      <c r="C29" s="9" t="s">
        <v>733</v>
      </c>
      <c r="D29" s="9">
        <v>3</v>
      </c>
      <c r="E29" s="9" t="s">
        <v>734</v>
      </c>
      <c r="F29" s="9"/>
      <c r="G29" s="11"/>
      <c r="H29" s="10" t="s">
        <v>923</v>
      </c>
      <c r="M29" s="1" t="s">
        <v>914</v>
      </c>
    </row>
    <row r="30" spans="1:13">
      <c r="A30" s="9" t="s">
        <v>105</v>
      </c>
      <c r="B30" s="1">
        <v>10</v>
      </c>
      <c r="C30" s="9" t="s">
        <v>733</v>
      </c>
      <c r="D30" s="9">
        <v>4</v>
      </c>
      <c r="E30" s="9" t="s">
        <v>734</v>
      </c>
      <c r="F30" s="9"/>
      <c r="G30" s="11"/>
      <c r="H30" s="10" t="s">
        <v>924</v>
      </c>
      <c r="M30" s="1" t="s">
        <v>914</v>
      </c>
    </row>
    <row r="31" spans="1:13">
      <c r="A31" s="9" t="s">
        <v>105</v>
      </c>
      <c r="B31" s="1">
        <v>11</v>
      </c>
      <c r="C31" s="9" t="s">
        <v>733</v>
      </c>
      <c r="D31" s="9">
        <v>5</v>
      </c>
      <c r="E31" s="9" t="s">
        <v>734</v>
      </c>
      <c r="F31" s="9"/>
      <c r="G31" s="11"/>
      <c r="H31" s="10" t="s">
        <v>925</v>
      </c>
      <c r="M31" s="1" t="s">
        <v>914</v>
      </c>
    </row>
    <row r="32" spans="1:13">
      <c r="A32" s="9" t="s">
        <v>105</v>
      </c>
      <c r="B32" s="1">
        <v>12</v>
      </c>
      <c r="C32" s="9" t="s">
        <v>733</v>
      </c>
      <c r="D32" s="9">
        <v>6</v>
      </c>
      <c r="E32" s="9" t="s">
        <v>734</v>
      </c>
      <c r="F32" s="9"/>
      <c r="G32" s="11"/>
      <c r="H32" s="10" t="s">
        <v>926</v>
      </c>
      <c r="M32" s="1" t="s">
        <v>914</v>
      </c>
    </row>
    <row r="33" spans="1:13">
      <c r="A33" s="9" t="s">
        <v>105</v>
      </c>
      <c r="B33" s="1">
        <v>13</v>
      </c>
      <c r="C33" s="9" t="s">
        <v>733</v>
      </c>
      <c r="D33" s="9">
        <v>7</v>
      </c>
      <c r="E33" s="9" t="s">
        <v>734</v>
      </c>
      <c r="F33" s="9"/>
      <c r="G33" s="11"/>
      <c r="H33" s="10" t="s">
        <v>927</v>
      </c>
      <c r="M33" s="1" t="s">
        <v>914</v>
      </c>
    </row>
    <row r="34" spans="1:13">
      <c r="A34" s="9" t="s">
        <v>105</v>
      </c>
      <c r="B34" s="1">
        <v>14</v>
      </c>
      <c r="C34" s="9" t="s">
        <v>733</v>
      </c>
      <c r="D34" s="9">
        <v>8</v>
      </c>
      <c r="E34" s="9" t="s">
        <v>734</v>
      </c>
      <c r="F34" s="9"/>
      <c r="G34" s="11"/>
      <c r="H34" s="10" t="s">
        <v>928</v>
      </c>
      <c r="M34" s="1" t="s">
        <v>914</v>
      </c>
    </row>
    <row r="35" spans="1:13">
      <c r="A35" s="9" t="s">
        <v>105</v>
      </c>
      <c r="B35" s="1">
        <v>15</v>
      </c>
      <c r="C35" s="9" t="s">
        <v>733</v>
      </c>
      <c r="D35" s="9">
        <v>9</v>
      </c>
      <c r="E35" s="9" t="s">
        <v>734</v>
      </c>
      <c r="F35" s="9"/>
      <c r="G35" s="11"/>
      <c r="H35" s="10" t="s">
        <v>929</v>
      </c>
      <c r="M35" s="1" t="s">
        <v>914</v>
      </c>
    </row>
    <row r="36" spans="1:13">
      <c r="A36" s="9" t="s">
        <v>105</v>
      </c>
      <c r="B36" s="1">
        <v>16</v>
      </c>
      <c r="C36" s="9" t="s">
        <v>733</v>
      </c>
      <c r="D36" s="9">
        <v>10</v>
      </c>
      <c r="E36" s="9" t="s">
        <v>734</v>
      </c>
      <c r="F36" s="9"/>
      <c r="G36" s="11"/>
      <c r="H36" s="10" t="s">
        <v>930</v>
      </c>
      <c r="M36" s="1" t="s">
        <v>914</v>
      </c>
    </row>
  </sheetData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CO10206"/>
  <sheetViews>
    <sheetView showGridLines="0" showRowColHeaders="0" showOutlineSymbols="0" topLeftCell="J1" workbookViewId="0">
      <selection activeCell="J1" sqref="J1"/>
    </sheetView>
  </sheetViews>
  <sheetFormatPr defaultRowHeight="11.25" zeroHeight="1"/>
  <cols>
    <col min="1" max="9" width="10.7109375" style="364" hidden="1" customWidth="1"/>
    <col min="10" max="23" width="2.7109375" style="364" customWidth="1"/>
    <col min="24" max="27" width="2.28515625" style="364" customWidth="1"/>
    <col min="28" max="33" width="2.7109375" style="364" customWidth="1"/>
    <col min="34" max="37" width="2.28515625" style="364" customWidth="1"/>
    <col min="38" max="39" width="3.7109375" style="364" customWidth="1"/>
    <col min="40" max="43" width="2.28515625" style="364" customWidth="1"/>
    <col min="44" max="45" width="3.7109375" style="364" customWidth="1"/>
    <col min="46" max="49" width="2.28515625" style="364" customWidth="1"/>
    <col min="50" max="51" width="3.7109375" style="364" customWidth="1"/>
    <col min="52" max="55" width="2.28515625" style="364" customWidth="1"/>
    <col min="56" max="57" width="3.7109375" style="364" customWidth="1"/>
    <col min="58" max="61" width="2.28515625" style="364" customWidth="1"/>
    <col min="62" max="63" width="3.7109375" style="364" customWidth="1"/>
    <col min="64" max="67" width="2.28515625" style="364" customWidth="1"/>
    <col min="68" max="69" width="3.7109375" style="364" customWidth="1"/>
    <col min="70" max="73" width="2.28515625" style="364" customWidth="1"/>
    <col min="74" max="75" width="3.7109375" style="364" customWidth="1"/>
    <col min="76" max="79" width="2.28515625" style="364" customWidth="1"/>
    <col min="80" max="81" width="3.7109375" style="364" customWidth="1"/>
    <col min="82" max="85" width="2.28515625" style="364" customWidth="1"/>
    <col min="86" max="87" width="3.7109375" style="364" customWidth="1"/>
    <col min="88" max="91" width="2.28515625" style="364" customWidth="1"/>
    <col min="92" max="93" width="3.7109375" style="364" customWidth="1"/>
    <col min="94" max="95" width="2.7109375" style="364" customWidth="1"/>
    <col min="96" max="16384" width="9.140625" style="364"/>
  </cols>
  <sheetData>
    <row r="1" spans="1:91"/>
    <row r="2" spans="1:91"/>
    <row r="3" spans="1:91">
      <c r="K3" s="364" t="str">
        <f>IF(B22&gt;0,"1-LINE DRAWING WILL NOT DISPLAY UNTIL ALL ERRORS ARE CORRECTED","")</f>
        <v/>
      </c>
      <c r="AH3" s="374"/>
      <c r="AI3" s="375"/>
      <c r="AJ3" s="375"/>
      <c r="AK3" s="377"/>
      <c r="AN3" s="374"/>
      <c r="AO3" s="375"/>
      <c r="AP3" s="375"/>
      <c r="AQ3" s="377"/>
      <c r="AT3" s="374"/>
      <c r="AU3" s="375"/>
      <c r="AV3" s="375"/>
      <c r="AW3" s="377"/>
      <c r="AZ3" s="374"/>
      <c r="BA3" s="375"/>
      <c r="BB3" s="375"/>
      <c r="BC3" s="377"/>
      <c r="BF3" s="374"/>
      <c r="BG3" s="375"/>
      <c r="BH3" s="375"/>
      <c r="BI3" s="377"/>
      <c r="BL3" s="374"/>
      <c r="BM3" s="375"/>
      <c r="BN3" s="375"/>
      <c r="BO3" s="377"/>
      <c r="BR3" s="374"/>
      <c r="BS3" s="375"/>
      <c r="BT3" s="375"/>
      <c r="BU3" s="377"/>
      <c r="BX3" s="374"/>
      <c r="BY3" s="375"/>
      <c r="BZ3" s="375"/>
      <c r="CA3" s="377"/>
      <c r="CD3" s="374"/>
      <c r="CE3" s="375"/>
      <c r="CF3" s="375"/>
      <c r="CG3" s="377"/>
      <c r="CJ3" s="374"/>
      <c r="CK3" s="375"/>
      <c r="CL3" s="375"/>
      <c r="CM3" s="377"/>
    </row>
    <row r="4" spans="1:91">
      <c r="AH4" s="363" t="str">
        <f>IF(COMM&lt;1,""," COMM")</f>
        <v xml:space="preserve"> COMM</v>
      </c>
      <c r="AI4" s="371"/>
      <c r="AJ4" s="371"/>
      <c r="AK4" s="373"/>
      <c r="AN4" s="363" t="str">
        <f>IF(COMM&lt;2,""," COMM")</f>
        <v xml:space="preserve"> COMM</v>
      </c>
      <c r="AO4" s="371"/>
      <c r="AP4" s="371"/>
      <c r="AQ4" s="373"/>
      <c r="AT4" s="363" t="str">
        <f>IF(COMM&lt;3,""," COMM")</f>
        <v xml:space="preserve"> COMM</v>
      </c>
      <c r="AU4" s="371"/>
      <c r="AV4" s="371"/>
      <c r="AW4" s="373"/>
      <c r="AZ4" s="363" t="str">
        <f>IF(COMM&lt;4,""," COMM")</f>
        <v/>
      </c>
      <c r="BA4" s="371"/>
      <c r="BB4" s="371"/>
      <c r="BC4" s="373"/>
      <c r="BF4" s="363" t="str">
        <f>IF(COMM&lt;5,""," COMM")</f>
        <v/>
      </c>
      <c r="BG4" s="371"/>
      <c r="BH4" s="371"/>
      <c r="BI4" s="373"/>
      <c r="BL4" s="363" t="str">
        <f>IF(COMM&lt;6,""," COMM")</f>
        <v/>
      </c>
      <c r="BM4" s="371"/>
      <c r="BN4" s="371"/>
      <c r="BO4" s="373"/>
      <c r="BR4" s="363" t="str">
        <f>IF(COMM&lt;7,""," COMM")</f>
        <v/>
      </c>
      <c r="BS4" s="371"/>
      <c r="BT4" s="371"/>
      <c r="BU4" s="373"/>
      <c r="BX4" s="363" t="str">
        <f>IF(COMM&lt;8,""," COMM")</f>
        <v/>
      </c>
      <c r="BY4" s="371"/>
      <c r="BZ4" s="371"/>
      <c r="CA4" s="373"/>
      <c r="CD4" s="363" t="str">
        <f>IF(COMM&lt;9,""," COMM")</f>
        <v/>
      </c>
      <c r="CE4" s="371"/>
      <c r="CF4" s="371"/>
      <c r="CG4" s="373"/>
      <c r="CJ4" s="363" t="str">
        <f>IF(COMM&lt;10,""," COMM")</f>
        <v/>
      </c>
      <c r="CK4" s="371"/>
      <c r="CL4" s="371"/>
      <c r="CM4" s="373"/>
    </row>
    <row r="5" spans="1:91">
      <c r="AH5" s="363" t="str">
        <f>IF(COMM&lt;1,""," UNIT")</f>
        <v xml:space="preserve"> UNIT</v>
      </c>
      <c r="AI5" s="371"/>
      <c r="AJ5" s="371"/>
      <c r="AK5" s="373"/>
      <c r="AN5" s="363" t="str">
        <f>IF(COMM&lt;2,""," UNIT")</f>
        <v xml:space="preserve"> UNIT</v>
      </c>
      <c r="AO5" s="371"/>
      <c r="AP5" s="371"/>
      <c r="AQ5" s="373"/>
      <c r="AT5" s="363" t="str">
        <f>IF(COMM&lt;3,""," UNIT")</f>
        <v xml:space="preserve"> UNIT</v>
      </c>
      <c r="AU5" s="371"/>
      <c r="AV5" s="371"/>
      <c r="AW5" s="373"/>
      <c r="AZ5" s="363" t="str">
        <f>IF(COMM&lt;4,""," UNIT")</f>
        <v/>
      </c>
      <c r="BA5" s="371"/>
      <c r="BB5" s="371"/>
      <c r="BC5" s="373"/>
      <c r="BF5" s="363" t="str">
        <f>IF(COMM&lt;5,""," UNIT")</f>
        <v/>
      </c>
      <c r="BG5" s="371"/>
      <c r="BH5" s="371"/>
      <c r="BI5" s="373"/>
      <c r="BL5" s="363" t="str">
        <f>IF(COMM&lt;6,""," UNIT")</f>
        <v/>
      </c>
      <c r="BM5" s="371"/>
      <c r="BN5" s="371"/>
      <c r="BO5" s="373"/>
      <c r="BR5" s="363" t="str">
        <f>IF(COMM&lt;7,""," UNIT")</f>
        <v/>
      </c>
      <c r="BS5" s="371"/>
      <c r="BT5" s="371"/>
      <c r="BU5" s="373"/>
      <c r="BX5" s="363" t="str">
        <f>IF(COMM&lt;8,""," UNIT")</f>
        <v/>
      </c>
      <c r="BY5" s="371"/>
      <c r="BZ5" s="371"/>
      <c r="CA5" s="373"/>
      <c r="CD5" s="363" t="str">
        <f>IF(COMM&lt;9,""," UNIT")</f>
        <v/>
      </c>
      <c r="CE5" s="371"/>
      <c r="CF5" s="371"/>
      <c r="CG5" s="373"/>
      <c r="CJ5" s="363" t="str">
        <f>IF(COMM&lt;10,""," UNIT")</f>
        <v/>
      </c>
      <c r="CK5" s="371"/>
      <c r="CL5" s="371"/>
      <c r="CM5" s="373"/>
    </row>
    <row r="6" spans="1:91">
      <c r="K6" s="364" t="str">
        <f>IF(B10&gt;0,"",IF(B9&gt;0,"TEMPLATES NEED TO BE UPDATED",""))</f>
        <v/>
      </c>
      <c r="AH6" s="363" t="str">
        <f>IF(COMM&lt;1,""," PANEL")</f>
        <v xml:space="preserve"> PANEL</v>
      </c>
      <c r="AI6" s="371"/>
      <c r="AJ6" s="371"/>
      <c r="AK6" s="373"/>
      <c r="AN6" s="363" t="str">
        <f>IF(COMM&lt;2,""," PANEL")</f>
        <v xml:space="preserve"> PANEL</v>
      </c>
      <c r="AO6" s="371"/>
      <c r="AP6" s="371"/>
      <c r="AQ6" s="373"/>
      <c r="AT6" s="363" t="str">
        <f>IF(COMM&lt;3,""," PANEL")</f>
        <v xml:space="preserve"> PANEL</v>
      </c>
      <c r="AU6" s="371"/>
      <c r="AV6" s="371"/>
      <c r="AW6" s="373"/>
      <c r="AZ6" s="363" t="str">
        <f>IF(COMM&lt;4,""," PANEL")</f>
        <v/>
      </c>
      <c r="BA6" s="371"/>
      <c r="BB6" s="371"/>
      <c r="BC6" s="373"/>
      <c r="BF6" s="363" t="str">
        <f>IF(COMM&lt;5,""," PANEL")</f>
        <v/>
      </c>
      <c r="BG6" s="371"/>
      <c r="BH6" s="371"/>
      <c r="BI6" s="373"/>
      <c r="BL6" s="363" t="str">
        <f>IF(COMM&lt;6,""," PANEL")</f>
        <v/>
      </c>
      <c r="BM6" s="371"/>
      <c r="BN6" s="371"/>
      <c r="BO6" s="373"/>
      <c r="BR6" s="363" t="str">
        <f>IF(COMM&lt;7,""," PANEL")</f>
        <v/>
      </c>
      <c r="BS6" s="371"/>
      <c r="BT6" s="371"/>
      <c r="BU6" s="373"/>
      <c r="BX6" s="363" t="str">
        <f>IF(COMM&lt;8,""," PANEL")</f>
        <v/>
      </c>
      <c r="BY6" s="371"/>
      <c r="BZ6" s="371"/>
      <c r="CA6" s="373"/>
      <c r="CD6" s="363" t="str">
        <f>IF(COMM&lt;9,""," PANEL")</f>
        <v/>
      </c>
      <c r="CE6" s="371"/>
      <c r="CF6" s="371"/>
      <c r="CG6" s="373"/>
      <c r="CJ6" s="363" t="str">
        <f>IF(COMM&lt;10,""," PANEL")</f>
        <v/>
      </c>
      <c r="CK6" s="371"/>
      <c r="CL6" s="371"/>
      <c r="CM6" s="373"/>
    </row>
    <row r="7" spans="1:91">
      <c r="AH7" s="363" t="str">
        <f>CInport!E7</f>
        <v xml:space="preserve"> CP</v>
      </c>
      <c r="AI7" s="371"/>
      <c r="AJ7" s="371"/>
      <c r="AK7" s="373"/>
      <c r="AN7" s="363" t="str">
        <f>CInport!E8</f>
        <v xml:space="preserve"> CP</v>
      </c>
      <c r="AO7" s="371"/>
      <c r="AP7" s="371"/>
      <c r="AQ7" s="373"/>
      <c r="AT7" s="363" t="str">
        <f>CInport!E9</f>
        <v xml:space="preserve"> CP</v>
      </c>
      <c r="AU7" s="371"/>
      <c r="AV7" s="371"/>
      <c r="AW7" s="373"/>
      <c r="AZ7" s="363" t="str">
        <f>CInport!E10</f>
        <v xml:space="preserve"> CP</v>
      </c>
      <c r="BA7" s="371"/>
      <c r="BB7" s="371"/>
      <c r="BC7" s="373"/>
      <c r="BF7" s="363" t="str">
        <f>CInport!E11</f>
        <v xml:space="preserve"> CP</v>
      </c>
      <c r="BG7" s="371"/>
      <c r="BH7" s="371"/>
      <c r="BI7" s="373"/>
      <c r="BL7" s="363" t="str">
        <f>CInport!E12</f>
        <v xml:space="preserve"> CP</v>
      </c>
      <c r="BM7" s="371"/>
      <c r="BN7" s="371"/>
      <c r="BO7" s="373"/>
      <c r="BR7" s="363" t="str">
        <f>CInport!E13</f>
        <v xml:space="preserve"> CP</v>
      </c>
      <c r="BS7" s="371"/>
      <c r="BT7" s="371"/>
      <c r="BU7" s="373"/>
      <c r="BX7" s="363" t="str">
        <f>CInport!E14</f>
        <v xml:space="preserve"> CP</v>
      </c>
      <c r="BY7" s="371"/>
      <c r="BZ7" s="371"/>
      <c r="CA7" s="373"/>
      <c r="CD7" s="363" t="str">
        <f>CInport!E15</f>
        <v xml:space="preserve"> CP</v>
      </c>
      <c r="CE7" s="371"/>
      <c r="CF7" s="371"/>
      <c r="CG7" s="373"/>
      <c r="CJ7" s="363" t="str">
        <f>CInport!E16</f>
        <v xml:space="preserve"> CP</v>
      </c>
      <c r="CK7" s="371"/>
      <c r="CL7" s="371"/>
      <c r="CM7" s="373"/>
    </row>
    <row r="8" spans="1:91">
      <c r="AH8" s="378"/>
      <c r="AI8" s="381"/>
      <c r="AJ8" s="381"/>
      <c r="AK8" s="382"/>
      <c r="AN8" s="378"/>
      <c r="AO8" s="381"/>
      <c r="AP8" s="381"/>
      <c r="AQ8" s="382"/>
      <c r="AT8" s="378"/>
      <c r="AU8" s="381"/>
      <c r="AV8" s="381"/>
      <c r="AW8" s="382"/>
      <c r="AZ8" s="378"/>
      <c r="BA8" s="381"/>
      <c r="BB8" s="381"/>
      <c r="BC8" s="382"/>
      <c r="BF8" s="378"/>
      <c r="BG8" s="381"/>
      <c r="BH8" s="381"/>
      <c r="BI8" s="382"/>
      <c r="BL8" s="378"/>
      <c r="BM8" s="381"/>
      <c r="BN8" s="381"/>
      <c r="BO8" s="382"/>
      <c r="BR8" s="378"/>
      <c r="BS8" s="381"/>
      <c r="BT8" s="381"/>
      <c r="BU8" s="382"/>
      <c r="BX8" s="378"/>
      <c r="BY8" s="381"/>
      <c r="BZ8" s="381"/>
      <c r="CA8" s="382"/>
      <c r="CD8" s="378"/>
      <c r="CE8" s="381"/>
      <c r="CF8" s="381"/>
      <c r="CG8" s="382"/>
      <c r="CJ8" s="378"/>
      <c r="CK8" s="381"/>
      <c r="CL8" s="381"/>
      <c r="CM8" s="382"/>
    </row>
    <row r="9" spans="1:91">
      <c r="A9" s="364" t="s">
        <v>808</v>
      </c>
      <c r="B9" s="364">
        <f>Calcs!M6</f>
        <v>0</v>
      </c>
      <c r="AI9" s="340" t="str">
        <f>CInport!I7</f>
        <v xml:space="preserve">6.2 K </v>
      </c>
      <c r="AJ9" s="363" t="str">
        <f>CInport!J7</f>
        <v xml:space="preserve"> 0.0 % VD</v>
      </c>
      <c r="AO9" s="340" t="str">
        <f>CInport!I8</f>
        <v xml:space="preserve">6.2 K </v>
      </c>
      <c r="AP9" s="363" t="str">
        <f>CInport!J8</f>
        <v xml:space="preserve"> 0.0 % VD</v>
      </c>
      <c r="AU9" s="340" t="str">
        <f>CInport!I9</f>
        <v xml:space="preserve">6.2 K </v>
      </c>
      <c r="AV9" s="363" t="str">
        <f>CInport!J9</f>
        <v xml:space="preserve"> 0.0 % VD</v>
      </c>
      <c r="BA9" s="340" t="str">
        <f>CInport!I10</f>
        <v xml:space="preserve">6.2 K </v>
      </c>
      <c r="BB9" s="363" t="str">
        <f>CInport!J10</f>
        <v xml:space="preserve"> 0.0 % VD</v>
      </c>
      <c r="BG9" s="340" t="str">
        <f>CInport!I11</f>
        <v xml:space="preserve">6.2 K </v>
      </c>
      <c r="BH9" s="363" t="str">
        <f>CInport!J11</f>
        <v xml:space="preserve"> 0.0 % VD</v>
      </c>
      <c r="BM9" s="340" t="str">
        <f>CInport!I12</f>
        <v xml:space="preserve">6.2 K </v>
      </c>
      <c r="BN9" s="363" t="str">
        <f>CInport!J12</f>
        <v xml:space="preserve"> 0.0 % VD</v>
      </c>
      <c r="BS9" s="340" t="str">
        <f>CInport!I13</f>
        <v xml:space="preserve">6.2 K </v>
      </c>
      <c r="BT9" s="363" t="str">
        <f>CInport!J13</f>
        <v xml:space="preserve"> 0.0 % VD</v>
      </c>
      <c r="BY9" s="340" t="str">
        <f>CInport!I14</f>
        <v xml:space="preserve">6.2 K </v>
      </c>
      <c r="BZ9" s="363" t="str">
        <f>CInport!J14</f>
        <v xml:space="preserve"> 0.0 % VD</v>
      </c>
      <c r="CE9" s="340" t="str">
        <f>CInport!I15</f>
        <v xml:space="preserve">6.2 K </v>
      </c>
      <c r="CF9" s="363" t="str">
        <f>CInport!J15</f>
        <v xml:space="preserve"> 0.0 % VD</v>
      </c>
      <c r="CK9" s="340" t="str">
        <f>CInport!I16</f>
        <v xml:space="preserve">6.2 K </v>
      </c>
      <c r="CL9" s="363" t="str">
        <f>CInport!J16</f>
        <v xml:space="preserve"> 0.0 % VD</v>
      </c>
    </row>
    <row r="10" spans="1:91">
      <c r="A10" s="364" t="s">
        <v>809</v>
      </c>
      <c r="B10" s="364">
        <f>Calcs!N6</f>
        <v>0</v>
      </c>
      <c r="AJ10" s="363"/>
      <c r="AP10" s="363"/>
      <c r="AV10" s="363"/>
      <c r="BB10" s="363"/>
      <c r="BH10" s="363"/>
      <c r="BN10" s="363"/>
      <c r="BT10" s="363"/>
      <c r="BZ10" s="363"/>
      <c r="CF10" s="363"/>
      <c r="CL10" s="363"/>
    </row>
    <row r="11" spans="1:91">
      <c r="AJ11" s="363" t="str">
        <f>CInport!K7</f>
        <v xml:space="preserve"> 50'</v>
      </c>
      <c r="AP11" s="363" t="str">
        <f>CInport!K8</f>
        <v xml:space="preserve"> 50'</v>
      </c>
      <c r="AV11" s="363" t="str">
        <f>CInport!K9</f>
        <v xml:space="preserve"> 50'</v>
      </c>
      <c r="BB11" s="363" t="str">
        <f>CInport!K10</f>
        <v xml:space="preserve"> 50'</v>
      </c>
      <c r="BH11" s="363" t="str">
        <f>CInport!K11</f>
        <v xml:space="preserve"> 50'</v>
      </c>
      <c r="BN11" s="363" t="str">
        <f>CInport!K12</f>
        <v xml:space="preserve"> 50'</v>
      </c>
      <c r="BT11" s="363" t="str">
        <f>CInport!K13</f>
        <v xml:space="preserve"> 50'</v>
      </c>
      <c r="BZ11" s="363" t="str">
        <f>CInport!K14</f>
        <v xml:space="preserve"> 50'</v>
      </c>
      <c r="CF11" s="363" t="str">
        <f>CInport!K15</f>
        <v xml:space="preserve"> 50'</v>
      </c>
      <c r="CL11" s="363" t="str">
        <f>CInport!K16</f>
        <v xml:space="preserve"> 50'</v>
      </c>
    </row>
    <row r="12" spans="1:91">
      <c r="AJ12" s="363" t="str">
        <f>CInport!L7</f>
        <v xml:space="preserve"> 1-1'' EMT</v>
      </c>
      <c r="AP12" s="363" t="str">
        <f>CInport!L8</f>
        <v xml:space="preserve"> 1-1'' EMT</v>
      </c>
      <c r="AV12" s="363" t="str">
        <f>CInport!L9</f>
        <v xml:space="preserve"> 1-1'' EMT</v>
      </c>
      <c r="BB12" s="363" t="str">
        <f>CInport!L10</f>
        <v xml:space="preserve"> 1-1'' EMT</v>
      </c>
      <c r="BH12" s="363" t="str">
        <f>CInport!L11</f>
        <v xml:space="preserve"> 1-1'' EMT</v>
      </c>
      <c r="BN12" s="363" t="str">
        <f>CInport!L12</f>
        <v xml:space="preserve"> 1-1'' EMT</v>
      </c>
      <c r="BT12" s="363" t="str">
        <f>CInport!L13</f>
        <v xml:space="preserve"> 1-1'' EMT</v>
      </c>
      <c r="BZ12" s="363" t="str">
        <f>CInport!L14</f>
        <v xml:space="preserve"> 1-1'' EMT</v>
      </c>
      <c r="CF12" s="363" t="str">
        <f>CInport!L15</f>
        <v xml:space="preserve"> 1-1'' EMT</v>
      </c>
      <c r="CL12" s="363" t="str">
        <f>CInport!L16</f>
        <v xml:space="preserve"> 1-1'' EMT</v>
      </c>
    </row>
    <row r="13" spans="1:91">
      <c r="AJ13" s="363" t="str">
        <f>CInport!M7</f>
        <v xml:space="preserve"> 3-#3 THHN CU</v>
      </c>
      <c r="AP13" s="363" t="str">
        <f>CInport!M8</f>
        <v xml:space="preserve"> 3-#3 THHN CU</v>
      </c>
      <c r="AV13" s="363" t="str">
        <f>CInport!M9</f>
        <v xml:space="preserve"> 3-#3 THHN CU</v>
      </c>
      <c r="BB13" s="363" t="str">
        <f>CInport!M10</f>
        <v xml:space="preserve"> 3-#3 THHN CU</v>
      </c>
      <c r="BH13" s="363" t="str">
        <f>CInport!M11</f>
        <v xml:space="preserve"> 3-#3 THHN CU</v>
      </c>
      <c r="BN13" s="363" t="str">
        <f>CInport!M12</f>
        <v xml:space="preserve"> 3-#3 THHN CU</v>
      </c>
      <c r="BT13" s="363" t="str">
        <f>CInport!M13</f>
        <v xml:space="preserve"> 3-#3 THHN CU</v>
      </c>
      <c r="BZ13" s="363" t="str">
        <f>CInport!M14</f>
        <v xml:space="preserve"> 3-#3 THHN CU</v>
      </c>
      <c r="CF13" s="363" t="str">
        <f>CInport!M15</f>
        <v xml:space="preserve"> 3-#3 THHN CU</v>
      </c>
      <c r="CL13" s="363" t="str">
        <f>CInport!M16</f>
        <v xml:space="preserve"> 3-#3 THHN CU</v>
      </c>
    </row>
    <row r="14" spans="1:91">
      <c r="AJ14" s="363" t="str">
        <f>CInport!N7</f>
        <v xml:space="preserve"> 1-#8 CU GND</v>
      </c>
      <c r="AP14" s="363" t="str">
        <f>CInport!N8</f>
        <v xml:space="preserve"> 1-#8 CU GND</v>
      </c>
      <c r="AV14" s="363" t="str">
        <f>CInport!N9</f>
        <v xml:space="preserve"> 1-#8 CU GND</v>
      </c>
      <c r="BB14" s="363" t="str">
        <f>CInport!N10</f>
        <v xml:space="preserve"> 1-#8 CU GND</v>
      </c>
      <c r="BH14" s="363" t="str">
        <f>CInport!N11</f>
        <v xml:space="preserve"> 1-#8 CU GND</v>
      </c>
      <c r="BN14" s="363" t="str">
        <f>CInport!N12</f>
        <v xml:space="preserve"> 1-#8 CU GND</v>
      </c>
      <c r="BT14" s="363" t="str">
        <f>CInport!N13</f>
        <v xml:space="preserve"> 1-#8 CU GND</v>
      </c>
      <c r="BZ14" s="363" t="str">
        <f>CInport!N14</f>
        <v xml:space="preserve"> 1-#8 CU GND</v>
      </c>
      <c r="CF14" s="363" t="str">
        <f>CInport!N15</f>
        <v xml:space="preserve"> 1-#8 CU GND</v>
      </c>
      <c r="CL14" s="363" t="str">
        <f>CInport!N16</f>
        <v xml:space="preserve"> 1-#8 CU GND</v>
      </c>
    </row>
    <row r="15" spans="1:91">
      <c r="AJ15" s="363" t="str">
        <f>CInport!O7</f>
        <v/>
      </c>
      <c r="AP15" s="363" t="str">
        <f>CInport!O8</f>
        <v/>
      </c>
      <c r="AV15" s="363" t="str">
        <f>CInport!O9</f>
        <v/>
      </c>
      <c r="BB15" s="363" t="str">
        <f>CInport!O10</f>
        <v/>
      </c>
      <c r="BH15" s="363" t="str">
        <f>CInport!O11</f>
        <v/>
      </c>
      <c r="BN15" s="363" t="str">
        <f>CInport!O12</f>
        <v/>
      </c>
      <c r="BT15" s="363" t="str">
        <f>CInport!O13</f>
        <v/>
      </c>
      <c r="BZ15" s="363" t="str">
        <f>CInport!O14</f>
        <v/>
      </c>
      <c r="CF15" s="363" t="str">
        <f>CInport!O15</f>
        <v/>
      </c>
      <c r="CL15" s="363" t="str">
        <f>CInport!O16</f>
        <v/>
      </c>
    </row>
    <row r="16" spans="1:91">
      <c r="AJ16" s="363" t="str">
        <f>CInport!P7</f>
        <v/>
      </c>
      <c r="AP16" s="363" t="str">
        <f>CInport!P8</f>
        <v/>
      </c>
      <c r="AV16" s="363" t="str">
        <f>CInport!P9</f>
        <v/>
      </c>
      <c r="BB16" s="363" t="str">
        <f>CInport!P10</f>
        <v/>
      </c>
      <c r="BH16" s="363" t="str">
        <f>CInport!P11</f>
        <v/>
      </c>
      <c r="BN16" s="363" t="str">
        <f>CInport!P12</f>
        <v/>
      </c>
      <c r="BT16" s="363" t="str">
        <f>CInport!P13</f>
        <v/>
      </c>
      <c r="BZ16" s="363" t="str">
        <f>CInport!P14</f>
        <v/>
      </c>
      <c r="CF16" s="363" t="str">
        <f>CInport!P15</f>
        <v/>
      </c>
      <c r="CL16" s="363" t="str">
        <f>CInport!P16</f>
        <v/>
      </c>
    </row>
    <row r="17" spans="1:93">
      <c r="AJ17" s="363" t="s">
        <v>53</v>
      </c>
      <c r="AP17" s="363" t="s">
        <v>53</v>
      </c>
      <c r="AV17" s="363" t="s">
        <v>53</v>
      </c>
      <c r="BB17" s="363" t="s">
        <v>53</v>
      </c>
      <c r="BH17" s="363" t="s">
        <v>53</v>
      </c>
      <c r="BN17" s="363" t="s">
        <v>53</v>
      </c>
      <c r="BT17" s="363" t="s">
        <v>53</v>
      </c>
      <c r="BZ17" s="363" t="s">
        <v>53</v>
      </c>
      <c r="CF17" s="363" t="s">
        <v>53</v>
      </c>
      <c r="CL17" s="363" t="s">
        <v>53</v>
      </c>
    </row>
    <row r="18" spans="1:93">
      <c r="S18" s="367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430" t="s">
        <v>706</v>
      </c>
      <c r="AK18" s="368"/>
      <c r="AL18" s="368"/>
      <c r="AM18" s="368"/>
      <c r="AN18" s="368"/>
      <c r="AO18" s="368"/>
      <c r="AP18" s="430" t="s">
        <v>706</v>
      </c>
      <c r="AQ18" s="368"/>
      <c r="AR18" s="368"/>
      <c r="AS18" s="368"/>
      <c r="AT18" s="368"/>
      <c r="AU18" s="368"/>
      <c r="AV18" s="430" t="s">
        <v>706</v>
      </c>
      <c r="AW18" s="368"/>
      <c r="AX18" s="368"/>
      <c r="AY18" s="368"/>
      <c r="AZ18" s="368"/>
      <c r="BA18" s="368"/>
      <c r="BB18" s="430" t="s">
        <v>706</v>
      </c>
      <c r="BC18" s="368"/>
      <c r="BD18" s="368"/>
      <c r="BE18" s="368"/>
      <c r="BF18" s="368"/>
      <c r="BG18" s="368"/>
      <c r="BH18" s="430" t="s">
        <v>706</v>
      </c>
      <c r="BI18" s="368"/>
      <c r="BJ18" s="368"/>
      <c r="BK18" s="368"/>
      <c r="BL18" s="368"/>
      <c r="BM18" s="368"/>
      <c r="BN18" s="430" t="s">
        <v>706</v>
      </c>
      <c r="BO18" s="368"/>
      <c r="BP18" s="368"/>
      <c r="BQ18" s="368"/>
      <c r="BR18" s="368"/>
      <c r="BS18" s="368"/>
      <c r="BT18" s="430" t="s">
        <v>706</v>
      </c>
      <c r="BU18" s="368"/>
      <c r="BV18" s="368"/>
      <c r="BW18" s="368"/>
      <c r="BX18" s="368"/>
      <c r="BY18" s="368"/>
      <c r="BZ18" s="430" t="s">
        <v>706</v>
      </c>
      <c r="CA18" s="368"/>
      <c r="CB18" s="368"/>
      <c r="CC18" s="368"/>
      <c r="CD18" s="368"/>
      <c r="CE18" s="368"/>
      <c r="CF18" s="430" t="s">
        <v>706</v>
      </c>
      <c r="CG18" s="368"/>
      <c r="CH18" s="368"/>
      <c r="CI18" s="368"/>
      <c r="CJ18" s="368"/>
      <c r="CK18" s="368"/>
      <c r="CL18" s="430" t="s">
        <v>706</v>
      </c>
      <c r="CM18" s="368"/>
      <c r="CN18" s="368"/>
      <c r="CO18" s="368"/>
    </row>
    <row r="19" spans="1:93">
      <c r="S19" s="370"/>
      <c r="AJ19" s="363"/>
      <c r="AP19" s="363"/>
      <c r="AV19" s="363"/>
      <c r="AY19" s="371"/>
      <c r="BB19" s="363"/>
      <c r="BE19" s="371"/>
      <c r="BH19" s="363"/>
      <c r="BK19" s="371"/>
      <c r="BN19" s="363"/>
      <c r="BQ19" s="371"/>
      <c r="BT19" s="363"/>
      <c r="BW19" s="371"/>
      <c r="BZ19" s="363"/>
      <c r="CC19" s="371"/>
      <c r="CF19" s="363"/>
      <c r="CI19" s="371"/>
      <c r="CL19" s="363"/>
      <c r="CO19" s="371"/>
    </row>
    <row r="20" spans="1:93">
      <c r="S20" s="370"/>
      <c r="AJ20" s="363" t="str">
        <f>CInport!H7</f>
        <v xml:space="preserve"> SINGLE PHASE</v>
      </c>
      <c r="AP20" s="363" t="str">
        <f>CInport!H8</f>
        <v xml:space="preserve"> SINGLE PHASE</v>
      </c>
      <c r="AV20" s="363" t="str">
        <f>CInport!H9</f>
        <v xml:space="preserve"> SINGLE PHASE</v>
      </c>
      <c r="AY20" s="371"/>
      <c r="BB20" s="363" t="str">
        <f>CInport!H10</f>
        <v xml:space="preserve"> SINGLE PHASE</v>
      </c>
      <c r="BE20" s="371"/>
      <c r="BH20" s="363" t="str">
        <f>CInport!H11</f>
        <v xml:space="preserve"> SINGLE PHASE</v>
      </c>
      <c r="BK20" s="371"/>
      <c r="BN20" s="363" t="str">
        <f>CInport!H12</f>
        <v xml:space="preserve"> SINGLE PHASE</v>
      </c>
      <c r="BQ20" s="371"/>
      <c r="BT20" s="363" t="str">
        <f>CInport!H13</f>
        <v xml:space="preserve"> SINGLE PHASE</v>
      </c>
      <c r="BW20" s="371"/>
      <c r="BZ20" s="363" t="str">
        <f>CInport!H14</f>
        <v xml:space="preserve"> SINGLE PHASE</v>
      </c>
      <c r="CC20" s="371"/>
      <c r="CF20" s="363" t="str">
        <f>CInport!H15</f>
        <v xml:space="preserve"> SINGLE PHASE</v>
      </c>
      <c r="CI20" s="371"/>
      <c r="CL20" s="363" t="str">
        <f>CInport!H16</f>
        <v xml:space="preserve"> SINGLE PHASE</v>
      </c>
      <c r="CO20" s="371"/>
    </row>
    <row r="21" spans="1:93">
      <c r="S21" s="370"/>
      <c r="AI21" s="340" t="s">
        <v>1</v>
      </c>
      <c r="AJ21" s="364" t="str">
        <f>CInport!G7</f>
        <v xml:space="preserve"> 100A-2P</v>
      </c>
      <c r="AO21" s="340" t="s">
        <v>1</v>
      </c>
      <c r="AP21" s="364" t="str">
        <f>CInport!G8</f>
        <v xml:space="preserve"> 100A-2P</v>
      </c>
      <c r="AU21" s="340" t="s">
        <v>1</v>
      </c>
      <c r="AV21" s="364" t="str">
        <f>CInport!G9</f>
        <v xml:space="preserve"> 100A-2P</v>
      </c>
      <c r="AY21" s="371"/>
      <c r="BA21" s="340" t="s">
        <v>1</v>
      </c>
      <c r="BB21" s="364" t="str">
        <f>CInport!G10</f>
        <v xml:space="preserve"> 100A-2P</v>
      </c>
      <c r="BE21" s="371"/>
      <c r="BG21" s="340" t="s">
        <v>1</v>
      </c>
      <c r="BH21" s="364" t="str">
        <f>CInport!G11</f>
        <v xml:space="preserve"> 100A-2P</v>
      </c>
      <c r="BK21" s="371"/>
      <c r="BM21" s="340" t="s">
        <v>1</v>
      </c>
      <c r="BN21" s="364" t="str">
        <f>CInport!G12</f>
        <v xml:space="preserve"> 100A-2P</v>
      </c>
      <c r="BQ21" s="371"/>
      <c r="BS21" s="340" t="s">
        <v>1</v>
      </c>
      <c r="BT21" s="364" t="str">
        <f>CInport!G13</f>
        <v xml:space="preserve"> 100A-2P</v>
      </c>
      <c r="BW21" s="371"/>
      <c r="BY21" s="340" t="s">
        <v>1</v>
      </c>
      <c r="BZ21" s="364" t="str">
        <f>CInport!G14</f>
        <v xml:space="preserve"> 100A-2P</v>
      </c>
      <c r="CC21" s="371"/>
      <c r="CE21" s="340" t="s">
        <v>1</v>
      </c>
      <c r="CF21" s="364" t="str">
        <f>CInport!G15</f>
        <v xml:space="preserve"> 100A-2P</v>
      </c>
      <c r="CI21" s="371"/>
      <c r="CK21" s="340" t="s">
        <v>1</v>
      </c>
      <c r="CL21" s="364" t="str">
        <f>CInport!G16</f>
        <v xml:space="preserve"> 100A-2P</v>
      </c>
      <c r="CO21" s="371"/>
    </row>
    <row r="22" spans="1:93">
      <c r="A22" s="364" t="s">
        <v>4</v>
      </c>
      <c r="B22" s="365">
        <f>Calcs!M2</f>
        <v>0</v>
      </c>
      <c r="C22" s="431">
        <f>Calcs!M2</f>
        <v>0</v>
      </c>
      <c r="S22" s="370"/>
      <c r="AJ22" s="378" t="str">
        <f>IF(AJ20=" SINGLE PHASE"," ( L1 &amp; L2 )","")</f>
        <v xml:space="preserve"> ( L1 &amp; L2 )</v>
      </c>
      <c r="AP22" s="378" t="str">
        <f>IF(AP20=" SINGLE PHASE"," ( L2 &amp; L3 )","")</f>
        <v xml:space="preserve"> ( L2 &amp; L3 )</v>
      </c>
      <c r="AV22" s="378" t="str">
        <f>IF(AV20=" SINGLE PHASE"," ( L1 &amp; L3 )","")</f>
        <v xml:space="preserve"> ( L1 &amp; L3 )</v>
      </c>
      <c r="AY22" s="371"/>
      <c r="BB22" s="378" t="str">
        <f>IF(BB20=" SINGLE PHASE"," ( L1 &amp; L2 )","")</f>
        <v xml:space="preserve"> ( L1 &amp; L2 )</v>
      </c>
      <c r="BE22" s="371"/>
      <c r="BH22" s="378" t="str">
        <f>IF(BH20=" SINGLE PHASE"," ( L2 &amp; L3 )","")</f>
        <v xml:space="preserve"> ( L2 &amp; L3 )</v>
      </c>
      <c r="BK22" s="371"/>
      <c r="BN22" s="378" t="str">
        <f>IF(BN20=" SINGLE PHASE"," ( L1 &amp; L3 )","")</f>
        <v xml:space="preserve"> ( L1 &amp; L3 )</v>
      </c>
      <c r="BQ22" s="371"/>
      <c r="BT22" s="378" t="str">
        <f>IF(BT20=" SINGLE PHASE"," ( L1 &amp; L2 )","")</f>
        <v xml:space="preserve"> ( L1 &amp; L2 )</v>
      </c>
      <c r="BW22" s="371"/>
      <c r="BZ22" s="378" t="str">
        <f>IF(BZ20=" SINGLE PHASE"," ( L2 &amp; L3 )","")</f>
        <v xml:space="preserve"> ( L2 &amp; L3 )</v>
      </c>
      <c r="CC22" s="371"/>
      <c r="CF22" s="378" t="str">
        <f>IF(CF20=" SINGLE PHASE"," ( L1 &amp; L3 )","")</f>
        <v xml:space="preserve"> ( L1 &amp; L3 )</v>
      </c>
      <c r="CI22" s="371"/>
      <c r="CL22" s="378" t="str">
        <f>IF(CL20=" SINGLE PHASE"," ( L1 &amp; L2 )","")</f>
        <v xml:space="preserve"> ( L1 &amp; L2 )</v>
      </c>
      <c r="CO22" s="371"/>
    </row>
    <row r="23" spans="1:93">
      <c r="S23" s="370"/>
      <c r="AH23" s="374"/>
      <c r="AI23" s="375" t="s">
        <v>719</v>
      </c>
      <c r="AJ23" s="375"/>
      <c r="AK23" s="377"/>
      <c r="AN23" s="374"/>
      <c r="AO23" s="375" t="s">
        <v>720</v>
      </c>
      <c r="AP23" s="375"/>
      <c r="AQ23" s="377"/>
      <c r="AT23" s="374"/>
      <c r="AU23" s="375" t="s">
        <v>721</v>
      </c>
      <c r="AV23" s="375"/>
      <c r="AW23" s="377"/>
      <c r="AY23" s="371"/>
      <c r="AZ23" s="374"/>
      <c r="BA23" s="375" t="s">
        <v>722</v>
      </c>
      <c r="BB23" s="375"/>
      <c r="BC23" s="377"/>
      <c r="BE23" s="371"/>
      <c r="BF23" s="374"/>
      <c r="BG23" s="375" t="s">
        <v>723</v>
      </c>
      <c r="BH23" s="375"/>
      <c r="BI23" s="377"/>
      <c r="BK23" s="371"/>
      <c r="BL23" s="374"/>
      <c r="BM23" s="375" t="s">
        <v>724</v>
      </c>
      <c r="BN23" s="375"/>
      <c r="BO23" s="377"/>
      <c r="BQ23" s="371"/>
      <c r="BR23" s="374"/>
      <c r="BS23" s="375" t="s">
        <v>725</v>
      </c>
      <c r="BT23" s="375"/>
      <c r="BU23" s="377"/>
      <c r="BW23" s="371"/>
      <c r="BX23" s="374"/>
      <c r="BY23" s="375" t="s">
        <v>726</v>
      </c>
      <c r="BZ23" s="375"/>
      <c r="CA23" s="377"/>
      <c r="CC23" s="371"/>
      <c r="CD23" s="374"/>
      <c r="CE23" s="375" t="s">
        <v>727</v>
      </c>
      <c r="CF23" s="375"/>
      <c r="CG23" s="377"/>
      <c r="CI23" s="371"/>
      <c r="CJ23" s="374"/>
      <c r="CK23" s="375" t="s">
        <v>728</v>
      </c>
      <c r="CL23" s="375"/>
      <c r="CM23" s="377"/>
      <c r="CO23" s="371"/>
    </row>
    <row r="24" spans="1:93">
      <c r="A24" s="364" t="s">
        <v>2</v>
      </c>
      <c r="B24" s="308" t="str">
        <f>Input!D18</f>
        <v>YES</v>
      </c>
      <c r="L24" s="366" t="s">
        <v>5</v>
      </c>
      <c r="M24" s="363" t="s">
        <v>6</v>
      </c>
      <c r="S24" s="370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8"/>
      <c r="AI24" s="381" t="s">
        <v>0</v>
      </c>
      <c r="AJ24" s="381"/>
      <c r="AK24" s="382"/>
      <c r="AL24" s="371"/>
      <c r="AM24" s="371"/>
      <c r="AN24" s="378"/>
      <c r="AO24" s="381" t="s">
        <v>0</v>
      </c>
      <c r="AP24" s="381"/>
      <c r="AQ24" s="382"/>
      <c r="AR24" s="371"/>
      <c r="AS24" s="371"/>
      <c r="AT24" s="378"/>
      <c r="AU24" s="381" t="s">
        <v>0</v>
      </c>
      <c r="AV24" s="381"/>
      <c r="AW24" s="382"/>
      <c r="AX24" s="371"/>
      <c r="AY24" s="371"/>
      <c r="AZ24" s="378"/>
      <c r="BA24" s="381" t="s">
        <v>0</v>
      </c>
      <c r="BB24" s="381"/>
      <c r="BC24" s="382"/>
      <c r="BD24" s="371"/>
      <c r="BE24" s="371"/>
      <c r="BF24" s="378"/>
      <c r="BG24" s="381" t="s">
        <v>0</v>
      </c>
      <c r="BH24" s="381"/>
      <c r="BI24" s="382"/>
      <c r="BJ24" s="371"/>
      <c r="BK24" s="371"/>
      <c r="BL24" s="378"/>
      <c r="BM24" s="381" t="s">
        <v>0</v>
      </c>
      <c r="BN24" s="381"/>
      <c r="BO24" s="382"/>
      <c r="BP24" s="371"/>
      <c r="BQ24" s="371"/>
      <c r="BR24" s="378"/>
      <c r="BS24" s="381" t="s">
        <v>0</v>
      </c>
      <c r="BT24" s="381"/>
      <c r="BU24" s="382"/>
      <c r="BV24" s="371"/>
      <c r="BW24" s="371"/>
      <c r="BX24" s="378"/>
      <c r="BY24" s="381" t="s">
        <v>0</v>
      </c>
      <c r="BZ24" s="381"/>
      <c r="CA24" s="382"/>
      <c r="CB24" s="371"/>
      <c r="CC24" s="371"/>
      <c r="CD24" s="378"/>
      <c r="CE24" s="381" t="s">
        <v>0</v>
      </c>
      <c r="CF24" s="381"/>
      <c r="CG24" s="382"/>
      <c r="CH24" s="371"/>
      <c r="CI24" s="371"/>
      <c r="CJ24" s="378"/>
      <c r="CK24" s="381" t="s">
        <v>0</v>
      </c>
      <c r="CL24" s="381"/>
      <c r="CM24" s="382"/>
      <c r="CN24" s="371"/>
      <c r="CO24" s="371"/>
    </row>
    <row r="25" spans="1:93">
      <c r="A25" s="364" t="s">
        <v>31</v>
      </c>
      <c r="B25" s="308" t="str">
        <f>Input!D20</f>
        <v>NO</v>
      </c>
      <c r="K25" s="364" t="str">
        <f>IF(Input!D33="MANUAL","",IF(OR(B29="NO",B28="UNDERGROUND"),"",Input!V59))</f>
        <v xml:space="preserve"> 30 K</v>
      </c>
      <c r="M25" s="363"/>
      <c r="S25" s="370"/>
      <c r="T25" s="371"/>
      <c r="U25" s="371"/>
      <c r="V25" s="371" t="str">
        <f>Calcs!BY47</f>
        <v>225A  208/120V 3-PHASE</v>
      </c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4"/>
      <c r="AK25" s="371"/>
      <c r="AL25" s="371"/>
      <c r="AM25" s="371"/>
      <c r="AN25" s="371"/>
      <c r="AO25" s="371"/>
      <c r="AP25" s="374"/>
      <c r="AQ25" s="371"/>
      <c r="AR25" s="371"/>
      <c r="AS25" s="371"/>
      <c r="AT25" s="371"/>
      <c r="AU25" s="371"/>
      <c r="AV25" s="374"/>
      <c r="AW25" s="371"/>
      <c r="AX25" s="371"/>
      <c r="AY25" s="371"/>
      <c r="AZ25" s="371"/>
      <c r="BA25" s="371"/>
      <c r="BB25" s="374"/>
      <c r="BC25" s="371"/>
      <c r="BD25" s="371"/>
      <c r="BE25" s="371"/>
      <c r="BF25" s="371"/>
      <c r="BG25" s="371"/>
      <c r="BH25" s="374"/>
      <c r="BI25" s="371"/>
      <c r="BJ25" s="371"/>
      <c r="BK25" s="371"/>
      <c r="BL25" s="371"/>
      <c r="BM25" s="371"/>
      <c r="BN25" s="374"/>
      <c r="BO25" s="371"/>
      <c r="BP25" s="371"/>
      <c r="BQ25" s="371"/>
      <c r="BR25" s="371"/>
      <c r="BS25" s="371"/>
      <c r="BT25" s="374"/>
      <c r="BU25" s="371"/>
      <c r="BV25" s="371"/>
      <c r="BW25" s="371"/>
      <c r="BX25" s="371"/>
      <c r="BY25" s="371"/>
      <c r="BZ25" s="374"/>
      <c r="CA25" s="371"/>
      <c r="CB25" s="371"/>
      <c r="CC25" s="371"/>
      <c r="CD25" s="371"/>
      <c r="CE25" s="371"/>
      <c r="CF25" s="374"/>
      <c r="CG25" s="371"/>
      <c r="CH25" s="371"/>
      <c r="CI25" s="371"/>
      <c r="CJ25" s="371"/>
      <c r="CK25" s="371"/>
      <c r="CL25" s="374"/>
      <c r="CM25" s="371"/>
      <c r="CN25" s="371"/>
      <c r="CO25" s="371"/>
    </row>
    <row r="26" spans="1:93">
      <c r="A26" s="364" t="s">
        <v>32</v>
      </c>
      <c r="B26" s="308">
        <f>Input!K4</f>
        <v>6</v>
      </c>
      <c r="M26" s="363" t="str">
        <f>IF(B31="MANUAL","",Input!V28)</f>
        <v xml:space="preserve"> 50'</v>
      </c>
      <c r="S26" s="370"/>
      <c r="T26" s="373"/>
      <c r="U26" s="374"/>
      <c r="V26" s="375"/>
      <c r="W26" s="375"/>
      <c r="X26" s="375"/>
      <c r="Y26" s="375"/>
      <c r="Z26" s="376"/>
      <c r="AA26" s="375"/>
      <c r="AB26" s="375"/>
      <c r="AC26" s="375"/>
      <c r="AD26" s="375"/>
      <c r="AE26" s="377"/>
      <c r="AF26" s="375"/>
      <c r="AG26" s="375"/>
      <c r="AH26" s="375"/>
      <c r="AI26" s="375"/>
      <c r="AJ26" s="376"/>
      <c r="AK26" s="375"/>
      <c r="AL26" s="375"/>
      <c r="AM26" s="375"/>
      <c r="AN26" s="375"/>
      <c r="AO26" s="375"/>
      <c r="AP26" s="376"/>
      <c r="AQ26" s="375"/>
      <c r="AR26" s="375"/>
      <c r="AS26" s="375"/>
      <c r="AT26" s="375"/>
      <c r="AU26" s="432"/>
      <c r="AV26" s="376"/>
      <c r="AW26" s="375"/>
      <c r="AX26" s="375"/>
      <c r="AY26" s="375"/>
      <c r="AZ26" s="375"/>
      <c r="BA26" s="377"/>
      <c r="BB26" s="375"/>
      <c r="BC26" s="375"/>
      <c r="BD26" s="375"/>
      <c r="BE26" s="375"/>
      <c r="BF26" s="375"/>
      <c r="BG26" s="377"/>
      <c r="BH26" s="375"/>
      <c r="BI26" s="375"/>
      <c r="BJ26" s="375"/>
      <c r="BK26" s="375"/>
      <c r="BL26" s="375"/>
      <c r="BM26" s="377"/>
      <c r="BN26" s="375"/>
      <c r="BO26" s="375"/>
      <c r="BP26" s="375"/>
      <c r="BQ26" s="375"/>
      <c r="BR26" s="375"/>
      <c r="BS26" s="377"/>
      <c r="BT26" s="375"/>
      <c r="BU26" s="375"/>
      <c r="BV26" s="375"/>
      <c r="BW26" s="375"/>
      <c r="BX26" s="375"/>
      <c r="BY26" s="377"/>
      <c r="BZ26" s="375"/>
      <c r="CA26" s="375"/>
      <c r="CB26" s="375"/>
      <c r="CC26" s="375"/>
      <c r="CD26" s="375"/>
      <c r="CE26" s="377"/>
      <c r="CF26" s="375"/>
      <c r="CG26" s="375"/>
      <c r="CH26" s="375"/>
      <c r="CI26" s="375"/>
      <c r="CJ26" s="375"/>
      <c r="CK26" s="377"/>
      <c r="CL26" s="371"/>
      <c r="CM26" s="371"/>
      <c r="CN26" s="371"/>
      <c r="CO26" s="371"/>
    </row>
    <row r="27" spans="1:93">
      <c r="A27" s="364" t="s">
        <v>33</v>
      </c>
      <c r="B27" s="308" t="str">
        <f>Input!D28</f>
        <v>YES</v>
      </c>
      <c r="M27" s="363" t="str">
        <f>Input!K69</f>
        <v xml:space="preserve"> 1-2 1/2'' EMT</v>
      </c>
      <c r="O27" s="371"/>
      <c r="P27" s="371"/>
      <c r="Q27" s="371"/>
      <c r="R27" s="371"/>
      <c r="S27" s="370"/>
      <c r="T27" s="373"/>
      <c r="U27" s="371"/>
      <c r="V27" s="371"/>
      <c r="W27" s="371"/>
      <c r="X27" s="374"/>
      <c r="Y27" s="375" t="str">
        <f>IF(B25="YES","HOUSE"," ")</f>
        <v xml:space="preserve"> </v>
      </c>
      <c r="Z27" s="375"/>
      <c r="AA27" s="377"/>
      <c r="AB27" s="371"/>
      <c r="AC27" s="371"/>
      <c r="AD27" s="371"/>
      <c r="AE27" s="373"/>
      <c r="AF27" s="371"/>
      <c r="AG27" s="371"/>
      <c r="AH27" s="374"/>
      <c r="AI27" s="375" t="s">
        <v>709</v>
      </c>
      <c r="AJ27" s="375"/>
      <c r="AK27" s="377"/>
      <c r="AL27" s="371"/>
      <c r="AM27" s="371"/>
      <c r="AN27" s="374"/>
      <c r="AO27" s="375" t="s">
        <v>710</v>
      </c>
      <c r="AP27" s="375"/>
      <c r="AQ27" s="377"/>
      <c r="AR27" s="371"/>
      <c r="AS27" s="371"/>
      <c r="AT27" s="374"/>
      <c r="AU27" s="375" t="s">
        <v>711</v>
      </c>
      <c r="AV27" s="375"/>
      <c r="AW27" s="377"/>
      <c r="AX27" s="371"/>
      <c r="AY27" s="371"/>
      <c r="AZ27" s="374"/>
      <c r="BA27" s="375" t="s">
        <v>712</v>
      </c>
      <c r="BB27" s="375"/>
      <c r="BC27" s="377"/>
      <c r="BD27" s="371"/>
      <c r="BE27" s="371"/>
      <c r="BF27" s="374"/>
      <c r="BG27" s="375" t="s">
        <v>713</v>
      </c>
      <c r="BH27" s="375"/>
      <c r="BI27" s="377"/>
      <c r="BJ27" s="371"/>
      <c r="BK27" s="371"/>
      <c r="BL27" s="374"/>
      <c r="BM27" s="375" t="s">
        <v>714</v>
      </c>
      <c r="BN27" s="375"/>
      <c r="BO27" s="377"/>
      <c r="BP27" s="371"/>
      <c r="BQ27" s="371"/>
      <c r="BR27" s="374"/>
      <c r="BS27" s="375" t="s">
        <v>715</v>
      </c>
      <c r="BT27" s="375"/>
      <c r="BU27" s="377"/>
      <c r="BV27" s="371"/>
      <c r="BW27" s="371"/>
      <c r="BX27" s="374"/>
      <c r="BY27" s="375" t="s">
        <v>716</v>
      </c>
      <c r="BZ27" s="375"/>
      <c r="CA27" s="377"/>
      <c r="CB27" s="371"/>
      <c r="CC27" s="371"/>
      <c r="CD27" s="374"/>
      <c r="CE27" s="375" t="s">
        <v>717</v>
      </c>
      <c r="CF27" s="375"/>
      <c r="CG27" s="377"/>
      <c r="CH27" s="371"/>
      <c r="CI27" s="371"/>
      <c r="CJ27" s="374"/>
      <c r="CK27" s="375" t="s">
        <v>718</v>
      </c>
      <c r="CL27" s="375"/>
      <c r="CM27" s="377"/>
      <c r="CN27" s="371"/>
      <c r="CO27" s="371"/>
    </row>
    <row r="28" spans="1:93">
      <c r="A28" s="364" t="s">
        <v>34</v>
      </c>
      <c r="B28" s="308" t="str">
        <f>Input!D43</f>
        <v>OVERHEAD</v>
      </c>
      <c r="M28" s="363" t="str">
        <f>Input!K70</f>
        <v xml:space="preserve"> 3-#300 THHN AL</v>
      </c>
      <c r="S28" s="370"/>
      <c r="T28" s="379"/>
      <c r="U28" s="380"/>
      <c r="V28" s="380"/>
      <c r="W28" s="380"/>
      <c r="X28" s="378"/>
      <c r="Y28" s="381" t="str">
        <f>IF(B25="YES","METER"," ")</f>
        <v xml:space="preserve"> </v>
      </c>
      <c r="Z28" s="381"/>
      <c r="AA28" s="382"/>
      <c r="AB28" s="371"/>
      <c r="AC28" s="371"/>
      <c r="AD28" s="383"/>
      <c r="AE28" s="373"/>
      <c r="AF28" s="371"/>
      <c r="AG28" s="371"/>
      <c r="AH28" s="378"/>
      <c r="AI28" s="381" t="s">
        <v>0</v>
      </c>
      <c r="AJ28" s="381"/>
      <c r="AK28" s="382"/>
      <c r="AL28" s="371"/>
      <c r="AM28" s="371"/>
      <c r="AN28" s="378"/>
      <c r="AO28" s="381" t="s">
        <v>0</v>
      </c>
      <c r="AP28" s="381"/>
      <c r="AQ28" s="382"/>
      <c r="AR28" s="371"/>
      <c r="AS28" s="371"/>
      <c r="AT28" s="378"/>
      <c r="AU28" s="381" t="s">
        <v>0</v>
      </c>
      <c r="AV28" s="381"/>
      <c r="AW28" s="382"/>
      <c r="AX28" s="371"/>
      <c r="AY28" s="371"/>
      <c r="AZ28" s="378"/>
      <c r="BA28" s="381" t="s">
        <v>0</v>
      </c>
      <c r="BB28" s="381"/>
      <c r="BC28" s="382"/>
      <c r="BD28" s="371"/>
      <c r="BE28" s="371"/>
      <c r="BF28" s="378"/>
      <c r="BG28" s="381" t="s">
        <v>0</v>
      </c>
      <c r="BH28" s="381"/>
      <c r="BI28" s="382"/>
      <c r="BJ28" s="371"/>
      <c r="BK28" s="371"/>
      <c r="BL28" s="378"/>
      <c r="BM28" s="381" t="s">
        <v>0</v>
      </c>
      <c r="BN28" s="381"/>
      <c r="BO28" s="382"/>
      <c r="BP28" s="371"/>
      <c r="BQ28" s="371"/>
      <c r="BR28" s="378"/>
      <c r="BS28" s="381" t="s">
        <v>0</v>
      </c>
      <c r="BT28" s="381"/>
      <c r="BU28" s="382"/>
      <c r="BV28" s="371"/>
      <c r="BW28" s="371"/>
      <c r="BX28" s="378"/>
      <c r="BY28" s="381" t="s">
        <v>0</v>
      </c>
      <c r="BZ28" s="381"/>
      <c r="CA28" s="382"/>
      <c r="CB28" s="371"/>
      <c r="CC28" s="371"/>
      <c r="CD28" s="378"/>
      <c r="CE28" s="381" t="s">
        <v>0</v>
      </c>
      <c r="CF28" s="381"/>
      <c r="CG28" s="382"/>
      <c r="CH28" s="371"/>
      <c r="CI28" s="371"/>
      <c r="CJ28" s="378"/>
      <c r="CK28" s="381" t="s">
        <v>0</v>
      </c>
      <c r="CL28" s="381"/>
      <c r="CM28" s="382"/>
      <c r="CN28" s="371"/>
      <c r="CO28" s="371"/>
    </row>
    <row r="29" spans="1:93">
      <c r="A29" s="364" t="s">
        <v>54</v>
      </c>
      <c r="B29" s="308" t="str">
        <f>Input!D26</f>
        <v>YES</v>
      </c>
      <c r="M29" s="363" t="str">
        <f>Input!K71</f>
        <v xml:space="preserve"> 1-#250 THHN AL (N)</v>
      </c>
      <c r="S29" s="370"/>
      <c r="T29" s="380" t="str">
        <f>IF(B24="YES","("," ")</f>
        <v>(</v>
      </c>
      <c r="U29" s="384" t="str">
        <f>IF(B24="YES",Calcs!BT41," ")</f>
        <v xml:space="preserve"> 225A 3-P</v>
      </c>
      <c r="V29" s="385"/>
      <c r="W29" s="385"/>
      <c r="X29" s="371"/>
      <c r="Y29" s="371"/>
      <c r="Z29" s="374" t="str">
        <f>IF(Z31=" SINGLE PHASE"," ( L1 &amp; L3 )","")</f>
        <v xml:space="preserve"> ( L1 &amp; L3 )</v>
      </c>
      <c r="AA29" s="371"/>
      <c r="AB29" s="371"/>
      <c r="AC29" s="371"/>
      <c r="AD29" s="371"/>
      <c r="AE29" s="373"/>
      <c r="AF29" s="371"/>
      <c r="AG29" s="371"/>
      <c r="AH29" s="371"/>
      <c r="AI29" s="371"/>
      <c r="AJ29" s="374" t="str">
        <f>IF(AJ31=" SINGLE PHASE"," ( L1 &amp; L2 )","")</f>
        <v xml:space="preserve"> ( L1 &amp; L2 )</v>
      </c>
      <c r="AK29" s="371"/>
      <c r="AL29" s="371"/>
      <c r="AM29" s="371"/>
      <c r="AN29" s="371"/>
      <c r="AO29" s="371"/>
      <c r="AP29" s="374" t="str">
        <f>IF(AP31=" SINGLE PHASE"," ( L2 &amp; L3 )","")</f>
        <v xml:space="preserve"> ( L2 &amp; L3 )</v>
      </c>
      <c r="AQ29" s="371"/>
      <c r="AR29" s="371"/>
      <c r="AS29" s="371"/>
      <c r="AT29" s="371"/>
      <c r="AU29" s="371"/>
      <c r="AV29" s="374" t="str">
        <f>IF(AV31=" SINGLE PHASE"," ( L1 &amp; L3 )","")</f>
        <v xml:space="preserve"> ( L1 &amp; L3 )</v>
      </c>
      <c r="AW29" s="371"/>
      <c r="AX29" s="371"/>
      <c r="AY29" s="371"/>
      <c r="AZ29" s="371"/>
      <c r="BA29" s="371"/>
      <c r="BB29" s="374" t="str">
        <f>IF(BB31=" SINGLE PHASE"," ( L1 &amp; L2 )","")</f>
        <v xml:space="preserve"> ( L1 &amp; L2 )</v>
      </c>
      <c r="BC29" s="371"/>
      <c r="BD29" s="371"/>
      <c r="BE29" s="371"/>
      <c r="BF29" s="371"/>
      <c r="BG29" s="371"/>
      <c r="BH29" s="374" t="str">
        <f>IF(BH31=" SINGLE PHASE"," ( L2 &amp; L3 )","")</f>
        <v xml:space="preserve"> ( L2 &amp; L3 )</v>
      </c>
      <c r="BI29" s="371"/>
      <c r="BJ29" s="371"/>
      <c r="BK29" s="371"/>
      <c r="BL29" s="371"/>
      <c r="BM29" s="371"/>
      <c r="BN29" s="374" t="str">
        <f>IF(BN31=" SINGLE PHASE"," ( L1 &amp; L3 )","")</f>
        <v xml:space="preserve"> ( L1 &amp; L3 )</v>
      </c>
      <c r="BO29" s="371"/>
      <c r="BP29" s="371"/>
      <c r="BQ29" s="371"/>
      <c r="BR29" s="371"/>
      <c r="BS29" s="371"/>
      <c r="BT29" s="374" t="str">
        <f>IF(BT31=" SINGLE PHASE"," ( L1 &amp; L2 )","")</f>
        <v/>
      </c>
      <c r="BU29" s="371"/>
      <c r="BV29" s="371"/>
      <c r="BW29" s="371"/>
      <c r="BX29" s="371"/>
      <c r="BY29" s="371"/>
      <c r="BZ29" s="374" t="str">
        <f>IF(BZ31=" SINGLE PHASE"," ( L2 &amp; L3 )","")</f>
        <v/>
      </c>
      <c r="CA29" s="371"/>
      <c r="CB29" s="371"/>
      <c r="CC29" s="371"/>
      <c r="CD29" s="371"/>
      <c r="CE29" s="371"/>
      <c r="CF29" s="374" t="str">
        <f>IF(CF31=" SINGLE PHASE"," ( L1 &amp; L3 )","")</f>
        <v/>
      </c>
      <c r="CG29" s="371"/>
      <c r="CH29" s="371"/>
      <c r="CI29" s="371"/>
      <c r="CJ29" s="371"/>
      <c r="CK29" s="371"/>
      <c r="CL29" s="374" t="str">
        <f>IF(CL31=" SINGLE PHASE"," ( L1 &amp; L2 )","")</f>
        <v/>
      </c>
      <c r="CM29" s="371"/>
      <c r="CN29" s="371"/>
      <c r="CO29" s="371"/>
    </row>
    <row r="30" spans="1:93">
      <c r="A30" s="364" t="s">
        <v>55</v>
      </c>
      <c r="B30" s="308" t="str">
        <f>Input!D25</f>
        <v>YES</v>
      </c>
      <c r="M30" s="363" t="str">
        <f>Input!K72</f>
        <v/>
      </c>
      <c r="S30" s="370"/>
      <c r="T30" s="373"/>
      <c r="U30" s="371"/>
      <c r="V30" s="371"/>
      <c r="W30" s="371"/>
      <c r="X30" s="371"/>
      <c r="Y30" s="380" t="str">
        <f>IF(B25="YES","("," ")</f>
        <v xml:space="preserve"> </v>
      </c>
      <c r="Z30" s="371" t="str">
        <f>HInport!H4</f>
        <v xml:space="preserve"> 60A-2P</v>
      </c>
      <c r="AA30" s="371"/>
      <c r="AB30" s="371"/>
      <c r="AC30" s="371"/>
      <c r="AD30" s="371"/>
      <c r="AE30" s="373"/>
      <c r="AF30" s="371"/>
      <c r="AG30" s="371"/>
      <c r="AH30" s="371"/>
      <c r="AI30" s="380" t="s">
        <v>1</v>
      </c>
      <c r="AJ30" s="371" t="str">
        <f>Import!G7</f>
        <v>100A-2P</v>
      </c>
      <c r="AK30" s="371"/>
      <c r="AL30" s="371"/>
      <c r="AM30" s="371"/>
      <c r="AN30" s="371"/>
      <c r="AO30" s="380" t="s">
        <v>1</v>
      </c>
      <c r="AP30" s="371" t="str">
        <f>Import!G8</f>
        <v>100A-2P</v>
      </c>
      <c r="AQ30" s="371"/>
      <c r="AR30" s="371"/>
      <c r="AS30" s="371"/>
      <c r="AT30" s="371"/>
      <c r="AU30" s="380" t="s">
        <v>1</v>
      </c>
      <c r="AV30" s="371" t="str">
        <f>Import!G9</f>
        <v>100A-2P</v>
      </c>
      <c r="AW30" s="371"/>
      <c r="AX30" s="371"/>
      <c r="AY30" s="371"/>
      <c r="AZ30" s="371"/>
      <c r="BA30" s="380" t="s">
        <v>1</v>
      </c>
      <c r="BB30" s="371" t="str">
        <f>Import!$G10</f>
        <v>100A-2P</v>
      </c>
      <c r="BC30" s="371"/>
      <c r="BD30" s="371"/>
      <c r="BE30" s="371"/>
      <c r="BF30" s="371"/>
      <c r="BG30" s="380" t="s">
        <v>1</v>
      </c>
      <c r="BH30" s="371" t="str">
        <f>Import!$G11</f>
        <v>100A-2P</v>
      </c>
      <c r="BI30" s="371"/>
      <c r="BJ30" s="371"/>
      <c r="BK30" s="371"/>
      <c r="BL30" s="371"/>
      <c r="BM30" s="380" t="s">
        <v>1</v>
      </c>
      <c r="BN30" s="371" t="str">
        <f>Import!$G12</f>
        <v>100A-2P</v>
      </c>
      <c r="BO30" s="371"/>
      <c r="BP30" s="371"/>
      <c r="BQ30" s="371"/>
      <c r="BR30" s="371"/>
      <c r="BS30" s="380" t="s">
        <v>1</v>
      </c>
      <c r="BT30" s="371" t="str">
        <f>Import!$G13</f>
        <v xml:space="preserve"> </v>
      </c>
      <c r="BU30" s="371"/>
      <c r="BV30" s="371"/>
      <c r="BW30" s="371"/>
      <c r="BX30" s="371"/>
      <c r="BY30" s="380" t="s">
        <v>1</v>
      </c>
      <c r="BZ30" s="371" t="str">
        <f>Import!$G14</f>
        <v xml:space="preserve"> </v>
      </c>
      <c r="CA30" s="371"/>
      <c r="CB30" s="371"/>
      <c r="CC30" s="371"/>
      <c r="CD30" s="371"/>
      <c r="CE30" s="380" t="s">
        <v>1</v>
      </c>
      <c r="CF30" s="371" t="str">
        <f>Import!$G15</f>
        <v xml:space="preserve"> </v>
      </c>
      <c r="CG30" s="371"/>
      <c r="CH30" s="371"/>
      <c r="CI30" s="371"/>
      <c r="CJ30" s="371"/>
      <c r="CK30" s="380" t="s">
        <v>1</v>
      </c>
      <c r="CL30" s="371" t="str">
        <f>Import!$G16</f>
        <v xml:space="preserve"> </v>
      </c>
      <c r="CM30" s="371"/>
      <c r="CN30" s="371"/>
      <c r="CO30" s="371"/>
    </row>
    <row r="31" spans="1:93">
      <c r="A31" s="364" t="s">
        <v>545</v>
      </c>
      <c r="B31" s="308" t="str">
        <f>Input!D33</f>
        <v>AUTO</v>
      </c>
      <c r="M31" s="378" t="str">
        <f>Input!K73</f>
        <v/>
      </c>
      <c r="N31" s="381"/>
      <c r="O31" s="381"/>
      <c r="P31" s="381"/>
      <c r="Q31" s="381"/>
      <c r="R31" s="381"/>
      <c r="S31" s="386"/>
      <c r="T31" s="382"/>
      <c r="U31" s="363"/>
      <c r="V31" s="371"/>
      <c r="W31" s="371"/>
      <c r="X31" s="371"/>
      <c r="Y31" s="380"/>
      <c r="Z31" s="363" t="str">
        <f>HInport!I4</f>
        <v xml:space="preserve"> SINGLE PHASE</v>
      </c>
      <c r="AA31" s="371"/>
      <c r="AB31" s="371"/>
      <c r="AC31" s="371"/>
      <c r="AD31" s="371"/>
      <c r="AE31" s="373"/>
      <c r="AF31" s="371"/>
      <c r="AG31" s="371"/>
      <c r="AH31" s="371"/>
      <c r="AI31" s="380"/>
      <c r="AJ31" s="363" t="str">
        <f>IF(AND(Input!D11="3Y",Import!F7=1)," SINGLE PHASE"," ")</f>
        <v xml:space="preserve"> SINGLE PHASE</v>
      </c>
      <c r="AK31" s="371"/>
      <c r="AL31" s="371"/>
      <c r="AM31" s="371"/>
      <c r="AN31" s="371"/>
      <c r="AO31" s="380"/>
      <c r="AP31" s="363" t="str">
        <f>IF(AND(Input!D11="3Y",Import!F8=1)," SINGLE PHASE"," ")</f>
        <v xml:space="preserve"> SINGLE PHASE</v>
      </c>
      <c r="AQ31" s="371"/>
      <c r="AR31" s="371"/>
      <c r="AS31" s="371"/>
      <c r="AT31" s="371"/>
      <c r="AU31" s="380"/>
      <c r="AV31" s="363" t="str">
        <f>IF(AND(Input!D11="3Y",Import!F9=1)," SINGLE PHASE"," ")</f>
        <v xml:space="preserve"> SINGLE PHASE</v>
      </c>
      <c r="AW31" s="371"/>
      <c r="AX31" s="371"/>
      <c r="AY31" s="371"/>
      <c r="AZ31" s="371"/>
      <c r="BA31" s="380"/>
      <c r="BB31" s="363" t="str">
        <f>IF(AND(Input!$D11="3Y",Import!$F10=1)," SINGLE PHASE"," ")</f>
        <v xml:space="preserve"> SINGLE PHASE</v>
      </c>
      <c r="BC31" s="371"/>
      <c r="BD31" s="371"/>
      <c r="BE31" s="371"/>
      <c r="BF31" s="371"/>
      <c r="BG31" s="380"/>
      <c r="BH31" s="363" t="str">
        <f>IF(AND(Input!$D11="3Y",Import!$F11=1)," SINGLE PHASE"," ")</f>
        <v xml:space="preserve"> SINGLE PHASE</v>
      </c>
      <c r="BI31" s="371"/>
      <c r="BJ31" s="371"/>
      <c r="BK31" s="371"/>
      <c r="BL31" s="371"/>
      <c r="BM31" s="380"/>
      <c r="BN31" s="363" t="str">
        <f>IF(AND(Input!$D11="3Y",Import!$F12=1)," SINGLE PHASE"," ")</f>
        <v xml:space="preserve"> SINGLE PHASE</v>
      </c>
      <c r="BO31" s="371"/>
      <c r="BP31" s="371"/>
      <c r="BQ31" s="371"/>
      <c r="BR31" s="371"/>
      <c r="BS31" s="380"/>
      <c r="BT31" s="363" t="str">
        <f>IF(AND(Input!$D11="3Y",Import!$F13=1)," SINGLE PHASE"," ")</f>
        <v xml:space="preserve"> </v>
      </c>
      <c r="BU31" s="371"/>
      <c r="BV31" s="371"/>
      <c r="BW31" s="371"/>
      <c r="BX31" s="371"/>
      <c r="BY31" s="380"/>
      <c r="BZ31" s="363" t="str">
        <f>IF(AND(Input!$D11="3Y",Import!$F14=1)," SINGLE PHASE"," ")</f>
        <v xml:space="preserve"> </v>
      </c>
      <c r="CA31" s="371"/>
      <c r="CB31" s="371"/>
      <c r="CC31" s="371"/>
      <c r="CD31" s="371"/>
      <c r="CE31" s="380"/>
      <c r="CF31" s="363" t="str">
        <f>IF(AND(Input!$D11="3Y",Import!$F15=1)," SINGLE PHASE"," ")</f>
        <v xml:space="preserve"> </v>
      </c>
      <c r="CG31" s="371"/>
      <c r="CH31" s="371"/>
      <c r="CI31" s="371"/>
      <c r="CJ31" s="371"/>
      <c r="CK31" s="380"/>
      <c r="CL31" s="363" t="str">
        <f>IF(AND(Input!$D11="3Y",Import!$F16=1)," SINGLE PHASE"," ")</f>
        <v xml:space="preserve"> </v>
      </c>
      <c r="CM31" s="371"/>
      <c r="CN31" s="371"/>
      <c r="CO31" s="371"/>
    </row>
    <row r="32" spans="1:93">
      <c r="M32" s="363"/>
      <c r="S32" s="370"/>
      <c r="T32" s="371"/>
      <c r="U32" s="371"/>
      <c r="V32" s="371"/>
      <c r="W32" s="371"/>
      <c r="X32" s="371"/>
      <c r="Y32" s="371"/>
      <c r="Z32" s="363"/>
      <c r="AA32" s="371"/>
      <c r="AB32" s="371"/>
      <c r="AC32" s="371"/>
      <c r="AD32" s="371"/>
      <c r="AE32" s="373"/>
      <c r="AF32" s="371"/>
      <c r="AG32" s="371"/>
      <c r="AH32" s="371"/>
      <c r="AI32" s="371"/>
      <c r="AJ32" s="363"/>
      <c r="AK32" s="371"/>
      <c r="AL32" s="371"/>
      <c r="AM32" s="371"/>
      <c r="AN32" s="371"/>
      <c r="AO32" s="371"/>
      <c r="AP32" s="363"/>
      <c r="AQ32" s="371"/>
      <c r="AR32" s="371"/>
      <c r="AS32" s="371"/>
      <c r="AT32" s="371"/>
      <c r="AU32" s="371"/>
      <c r="AV32" s="363"/>
      <c r="AW32" s="371"/>
      <c r="AX32" s="371"/>
      <c r="AY32" s="371"/>
      <c r="AZ32" s="371"/>
      <c r="BA32" s="371"/>
      <c r="BB32" s="363" t="s">
        <v>118</v>
      </c>
      <c r="BC32" s="371"/>
      <c r="BD32" s="371"/>
      <c r="BE32" s="371"/>
      <c r="BF32" s="371"/>
      <c r="BG32" s="371"/>
      <c r="BH32" s="363" t="s">
        <v>118</v>
      </c>
      <c r="BI32" s="371"/>
      <c r="BJ32" s="371"/>
      <c r="BK32" s="371"/>
      <c r="BL32" s="371"/>
      <c r="BM32" s="371"/>
      <c r="BN32" s="363" t="s">
        <v>118</v>
      </c>
      <c r="BO32" s="371"/>
      <c r="BP32" s="371"/>
      <c r="BQ32" s="371"/>
      <c r="BR32" s="371"/>
      <c r="BS32" s="371"/>
      <c r="BT32" s="363" t="s">
        <v>118</v>
      </c>
      <c r="BU32" s="371"/>
      <c r="BV32" s="371"/>
      <c r="BW32" s="371"/>
      <c r="BX32" s="371"/>
      <c r="BY32" s="371"/>
      <c r="BZ32" s="363" t="s">
        <v>118</v>
      </c>
      <c r="CA32" s="371"/>
      <c r="CB32" s="371"/>
      <c r="CC32" s="371"/>
      <c r="CD32" s="371"/>
      <c r="CE32" s="371"/>
      <c r="CF32" s="363" t="s">
        <v>118</v>
      </c>
      <c r="CG32" s="371"/>
      <c r="CH32" s="371"/>
      <c r="CI32" s="371"/>
      <c r="CJ32" s="371"/>
      <c r="CK32" s="371"/>
      <c r="CL32" s="363" t="s">
        <v>118</v>
      </c>
      <c r="CM32" s="371"/>
      <c r="CN32" s="371"/>
      <c r="CO32" s="371"/>
    </row>
    <row r="33" spans="1:93">
      <c r="A33" s="364" t="s">
        <v>708</v>
      </c>
      <c r="B33" s="308">
        <f>Input!K4</f>
        <v>6</v>
      </c>
      <c r="M33" s="363" t="str">
        <f>IF(B31="MANUAL","",Input!V28)</f>
        <v xml:space="preserve"> 50'</v>
      </c>
      <c r="S33" s="387" t="str">
        <f>IF(B29="NO","",AFC!P36)</f>
        <v xml:space="preserve"> 16.6 K </v>
      </c>
      <c r="T33" s="388"/>
      <c r="U33" s="389"/>
      <c r="V33" s="390"/>
      <c r="W33" s="388"/>
      <c r="X33" s="388"/>
      <c r="Y33" s="388"/>
      <c r="Z33" s="390" t="str">
        <f>IF(OR(B29="NO",B25="NO"),"",AFC!P36)</f>
        <v/>
      </c>
      <c r="AA33" s="388"/>
      <c r="AB33" s="388"/>
      <c r="AC33" s="388"/>
      <c r="AD33" s="388"/>
      <c r="AE33" s="373"/>
      <c r="AF33" s="371"/>
      <c r="AG33" s="388"/>
      <c r="AH33" s="388"/>
      <c r="AI33" s="388"/>
      <c r="AJ33" s="390" t="str">
        <f>IF(B29="NO","",IF(DWELL&lt;1,"",AFC!P36))</f>
        <v xml:space="preserve"> 16.6 K </v>
      </c>
      <c r="AK33" s="388"/>
      <c r="AL33" s="388"/>
      <c r="AM33" s="388"/>
      <c r="AN33" s="388"/>
      <c r="AO33" s="388"/>
      <c r="AP33" s="390" t="str">
        <f>IF(B29="NO","",IF(DWELL&lt;2,"",AFC!P36))</f>
        <v xml:space="preserve"> 16.6 K </v>
      </c>
      <c r="AQ33" s="388"/>
      <c r="AR33" s="388"/>
      <c r="AS33" s="388"/>
      <c r="AT33" s="388"/>
      <c r="AU33" s="388"/>
      <c r="AV33" s="390" t="str">
        <f>IF(B29="NO","",IF(DWELL&lt;3,"",AFC!P36))</f>
        <v xml:space="preserve"> 16.6 K </v>
      </c>
      <c r="AW33" s="388"/>
      <c r="AX33" s="388"/>
      <c r="AY33" s="388"/>
      <c r="AZ33" s="388"/>
      <c r="BA33" s="388"/>
      <c r="BB33" s="390" t="str">
        <f>IF(B29="NO","",IF(DWELL&lt;4,"",AFC!P36))</f>
        <v xml:space="preserve"> 16.6 K </v>
      </c>
      <c r="BC33" s="388"/>
      <c r="BD33" s="388"/>
      <c r="BE33" s="388"/>
      <c r="BF33" s="388"/>
      <c r="BG33" s="388"/>
      <c r="BH33" s="390" t="str">
        <f>IF(B29="NO","",IF(DWELL&lt;4,"",AFC!P36))</f>
        <v xml:space="preserve"> 16.6 K </v>
      </c>
      <c r="BI33" s="388"/>
      <c r="BJ33" s="388"/>
      <c r="BK33" s="388"/>
      <c r="BL33" s="388"/>
      <c r="BM33" s="388"/>
      <c r="BN33" s="390" t="str">
        <f>IF(B29="NO","",IF(DWELL&lt;4,"",AFC!P36))</f>
        <v xml:space="preserve"> 16.6 K </v>
      </c>
      <c r="BO33" s="388"/>
      <c r="BP33" s="388"/>
      <c r="BQ33" s="388"/>
      <c r="BR33" s="388"/>
      <c r="BS33" s="388"/>
      <c r="BT33" s="390" t="str">
        <f>IF(B29="NO","",IF(DWELL&lt;4,"",AFC!P36))</f>
        <v xml:space="preserve"> 16.6 K </v>
      </c>
      <c r="BU33" s="388"/>
      <c r="BV33" s="388"/>
      <c r="BW33" s="388"/>
      <c r="BX33" s="388"/>
      <c r="BY33" s="388"/>
      <c r="BZ33" s="390" t="str">
        <f>IF(B29="NO","",IF(DWELL&lt;4,"",AFC!P36))</f>
        <v xml:space="preserve"> 16.6 K </v>
      </c>
      <c r="CA33" s="388"/>
      <c r="CB33" s="388"/>
      <c r="CC33" s="388"/>
      <c r="CD33" s="388"/>
      <c r="CE33" s="388"/>
      <c r="CF33" s="390" t="str">
        <f>IF(B29="NO","",IF(DWELL&lt;4,"",AFC!P36))</f>
        <v xml:space="preserve"> 16.6 K </v>
      </c>
      <c r="CG33" s="388"/>
      <c r="CH33" s="388"/>
      <c r="CI33" s="388"/>
      <c r="CJ33" s="388"/>
      <c r="CK33" s="388"/>
      <c r="CL33" s="390" t="str">
        <f>IF(B29="NO","",IF(DWELL&lt;4,"",AFC!P36))</f>
        <v xml:space="preserve"> 16.6 K </v>
      </c>
      <c r="CM33" s="388"/>
      <c r="CN33" s="388"/>
      <c r="CO33" s="388"/>
    </row>
    <row r="34" spans="1:93">
      <c r="A34" s="364" t="s">
        <v>707</v>
      </c>
      <c r="B34" s="308">
        <f>Input!K43</f>
        <v>3</v>
      </c>
      <c r="M34" s="392" t="str">
        <f>Input!K69</f>
        <v xml:space="preserve"> 1-2 1/2'' EMT</v>
      </c>
      <c r="S34" s="368"/>
      <c r="T34" s="371"/>
      <c r="U34" s="368"/>
      <c r="V34" s="363"/>
      <c r="Z34" s="363"/>
      <c r="AD34" s="371"/>
      <c r="AE34" s="393"/>
      <c r="AF34" s="372"/>
      <c r="AJ34" s="363"/>
      <c r="AP34" s="363"/>
      <c r="AV34" s="363"/>
      <c r="AY34" s="368"/>
      <c r="BB34" s="363" t="s">
        <v>118</v>
      </c>
      <c r="BE34" s="368"/>
      <c r="BH34" s="363"/>
      <c r="BK34" s="371"/>
      <c r="BN34" s="363"/>
      <c r="BQ34" s="371"/>
      <c r="BT34" s="363"/>
      <c r="BZ34" s="363"/>
      <c r="CF34" s="363"/>
      <c r="CL34" s="363"/>
    </row>
    <row r="35" spans="1:93">
      <c r="A35" s="364" t="s">
        <v>166</v>
      </c>
      <c r="B35" s="308">
        <f>MAX(B33:B34)</f>
        <v>6</v>
      </c>
      <c r="M35" s="363" t="str">
        <f>Input!K70</f>
        <v xml:space="preserve"> 3-#300 THHN AL</v>
      </c>
      <c r="S35" s="371"/>
      <c r="T35" s="371"/>
      <c r="U35" s="371"/>
      <c r="V35" s="363"/>
      <c r="Z35" s="363" t="str">
        <f>HInport!L4</f>
        <v xml:space="preserve"> 20'</v>
      </c>
      <c r="AD35" s="371"/>
      <c r="AE35" s="393"/>
      <c r="AF35" s="372"/>
      <c r="AJ35" s="394" t="str">
        <f>Import!BA7</f>
        <v xml:space="preserve"> 30'</v>
      </c>
      <c r="AP35" s="363" t="str">
        <f>Import!BA8</f>
        <v xml:space="preserve"> 30'</v>
      </c>
      <c r="AV35" s="363" t="str">
        <f>Import!BA9</f>
        <v xml:space="preserve"> 30'</v>
      </c>
      <c r="BB35" s="363" t="str">
        <f>Import!BA10</f>
        <v xml:space="preserve"> 30'</v>
      </c>
      <c r="BH35" s="363" t="str">
        <f>Import!BA11</f>
        <v xml:space="preserve"> 30'</v>
      </c>
      <c r="BN35" s="363" t="str">
        <f>Import!BA12</f>
        <v xml:space="preserve"> 30'</v>
      </c>
      <c r="BT35" s="363" t="str">
        <f>Import!BA13</f>
        <v xml:space="preserve">  '</v>
      </c>
      <c r="BZ35" s="363" t="str">
        <f>Import!BA14</f>
        <v xml:space="preserve">  '</v>
      </c>
      <c r="CF35" s="363" t="str">
        <f>Import!BA15</f>
        <v xml:space="preserve">  '</v>
      </c>
      <c r="CL35" s="363" t="str">
        <f>Import!BA16</f>
        <v xml:space="preserve">  '</v>
      </c>
    </row>
    <row r="36" spans="1:93">
      <c r="M36" s="363" t="str">
        <f>Input!K71</f>
        <v xml:space="preserve"> 1-#250 THHN AL (N)</v>
      </c>
      <c r="S36" s="371"/>
      <c r="T36" s="371"/>
      <c r="U36" s="380" t="str">
        <f>IF(B27="NO","",IF(B31="MANUAL",Input!AB52,Input!AX16))</f>
        <v xml:space="preserve"> #4 CU - </v>
      </c>
      <c r="V36" s="363"/>
      <c r="Z36" s="363" t="str">
        <f>HInport!M4</f>
        <v xml:space="preserve"> 1-3/4'' EMT</v>
      </c>
      <c r="AD36" s="371"/>
      <c r="AE36" s="393"/>
      <c r="AF36" s="372"/>
      <c r="AJ36" s="395" t="str">
        <f>Import!J7</f>
        <v xml:space="preserve"> 1- SER CABLE</v>
      </c>
      <c r="AP36" s="363" t="str">
        <f>Import!J8</f>
        <v xml:space="preserve"> 1- SER CABLE</v>
      </c>
      <c r="AV36" s="363" t="str">
        <f>Import!J9</f>
        <v xml:space="preserve"> 1- SER CABLE</v>
      </c>
      <c r="BB36" s="363" t="str">
        <f>Import!J10</f>
        <v xml:space="preserve"> 1- SER CABLE</v>
      </c>
      <c r="BH36" s="363" t="str">
        <f>Import!J11</f>
        <v xml:space="preserve"> 1- SER CABLE</v>
      </c>
      <c r="BN36" s="363" t="str">
        <f>Import!J12</f>
        <v xml:space="preserve"> 1- SER CABLE</v>
      </c>
      <c r="BT36" s="363" t="str">
        <f>Import!J13</f>
        <v xml:space="preserve"> </v>
      </c>
      <c r="BZ36" s="363" t="str">
        <f>Import!J14</f>
        <v xml:space="preserve"> </v>
      </c>
      <c r="CF36" s="363" t="str">
        <f>Import!J15</f>
        <v xml:space="preserve"> </v>
      </c>
      <c r="CL36" s="363" t="str">
        <f>Import!J16</f>
        <v xml:space="preserve"> </v>
      </c>
    </row>
    <row r="37" spans="1:93">
      <c r="M37" s="363" t="str">
        <f>Input!K72</f>
        <v/>
      </c>
      <c r="S37" s="380"/>
      <c r="T37" s="371"/>
      <c r="U37" s="380" t="str">
        <f>IF(B27="NO","","TO UFER   ")</f>
        <v xml:space="preserve">TO UFER   </v>
      </c>
      <c r="V37" s="363"/>
      <c r="Z37" s="363" t="str">
        <f>HInport!N4</f>
        <v xml:space="preserve"> 3-#6 THHN CU</v>
      </c>
      <c r="AD37" s="371"/>
      <c r="AE37" s="393"/>
      <c r="AF37" s="372"/>
      <c r="AJ37" s="395" t="str">
        <f>Import!K7</f>
        <v xml:space="preserve"> 3-#1 AL  </v>
      </c>
      <c r="AP37" s="363" t="str">
        <f>Import!K8</f>
        <v xml:space="preserve"> 3-#1 AL  </v>
      </c>
      <c r="AV37" s="363" t="str">
        <f>Import!K9</f>
        <v xml:space="preserve"> 3-#1 AL  </v>
      </c>
      <c r="BB37" s="363" t="str">
        <f>Import!K10</f>
        <v xml:space="preserve"> 3-#1 AL  </v>
      </c>
      <c r="BH37" s="363" t="str">
        <f>Import!K11</f>
        <v xml:space="preserve"> 3-#1 AL  </v>
      </c>
      <c r="BN37" s="363" t="str">
        <f>Import!K12</f>
        <v xml:space="preserve"> 3-#1 AL  </v>
      </c>
      <c r="BT37" s="363" t="str">
        <f>Import!K13</f>
        <v xml:space="preserve"> </v>
      </c>
      <c r="BZ37" s="363" t="str">
        <f>Import!K14</f>
        <v xml:space="preserve"> </v>
      </c>
      <c r="CF37" s="363" t="str">
        <f>Import!K15</f>
        <v xml:space="preserve"> </v>
      </c>
      <c r="CL37" s="363" t="str">
        <f>Import!K16</f>
        <v xml:space="preserve"> </v>
      </c>
    </row>
    <row r="38" spans="1:93">
      <c r="M38" s="363" t="str">
        <f>Input!K73</f>
        <v/>
      </c>
      <c r="R38" s="371"/>
      <c r="S38" s="380"/>
      <c r="T38" s="371"/>
      <c r="U38" s="380" t="str">
        <f>IF(B27="NO","","GROUND   ")</f>
        <v xml:space="preserve">GROUND   </v>
      </c>
      <c r="V38" s="363"/>
      <c r="Z38" s="363" t="str">
        <f>HInport!O4</f>
        <v xml:space="preserve"> 1-#10 CU GND</v>
      </c>
      <c r="AD38" s="371"/>
      <c r="AE38" s="393"/>
      <c r="AF38" s="372"/>
      <c r="AJ38" s="363" t="str">
        <f>Import!L7</f>
        <v xml:space="preserve"> 1-#3 GND</v>
      </c>
      <c r="AP38" s="363" t="str">
        <f>Import!L8</f>
        <v xml:space="preserve"> 1-#3 GND</v>
      </c>
      <c r="AV38" s="363" t="str">
        <f>Import!L9</f>
        <v xml:space="preserve"> 1-#3 GND</v>
      </c>
      <c r="BB38" s="363" t="str">
        <f>Import!L10</f>
        <v xml:space="preserve"> 1-#3 GND</v>
      </c>
      <c r="BH38" s="363" t="str">
        <f>Import!L11</f>
        <v xml:space="preserve"> 1-#3 GND</v>
      </c>
      <c r="BN38" s="363" t="str">
        <f>Import!L12</f>
        <v xml:space="preserve"> 1-#3 GND</v>
      </c>
      <c r="BT38" s="363" t="str">
        <f>Import!L13</f>
        <v xml:space="preserve"> </v>
      </c>
      <c r="BZ38" s="363" t="str">
        <f>Import!L14</f>
        <v xml:space="preserve"> </v>
      </c>
      <c r="CF38" s="363" t="str">
        <f>Import!L15</f>
        <v xml:space="preserve"> </v>
      </c>
      <c r="CL38" s="363" t="str">
        <f>Import!L16</f>
        <v xml:space="preserve"> </v>
      </c>
    </row>
    <row r="39" spans="1:93">
      <c r="K39" s="364" t="str">
        <f>IF(Input!D33="MANUAL","",IF(OR(B29="NO",B28="OVERHEAD"),"",Input!V59))</f>
        <v/>
      </c>
      <c r="L39" s="340"/>
      <c r="M39" s="363"/>
      <c r="R39" s="371"/>
      <c r="S39" s="380"/>
      <c r="T39" s="371"/>
      <c r="U39" s="380"/>
      <c r="V39" s="363"/>
      <c r="Z39" s="363" t="str">
        <f>HInport!P4</f>
        <v/>
      </c>
      <c r="AD39" s="371"/>
      <c r="AE39" s="393"/>
      <c r="AF39" s="372"/>
      <c r="AJ39" s="363" t="str">
        <f>Import!M7</f>
        <v xml:space="preserve"> </v>
      </c>
      <c r="AP39" s="363" t="str">
        <f>Import!M8</f>
        <v xml:space="preserve"> </v>
      </c>
      <c r="AV39" s="363" t="str">
        <f>Import!M9</f>
        <v xml:space="preserve"> </v>
      </c>
      <c r="BB39" s="363" t="str">
        <f>Import!M10</f>
        <v xml:space="preserve"> </v>
      </c>
      <c r="BH39" s="363" t="str">
        <f>Import!M11</f>
        <v xml:space="preserve"> </v>
      </c>
      <c r="BN39" s="363" t="str">
        <f>Import!M12</f>
        <v xml:space="preserve"> </v>
      </c>
      <c r="BT39" s="363" t="str">
        <f>Import!M13</f>
        <v xml:space="preserve"> </v>
      </c>
      <c r="BZ39" s="363" t="str">
        <f>Import!M14</f>
        <v xml:space="preserve"> </v>
      </c>
      <c r="CF39" s="363" t="str">
        <f>Import!M15</f>
        <v xml:space="preserve"> </v>
      </c>
      <c r="CL39" s="363" t="str">
        <f>Import!M16</f>
        <v xml:space="preserve"> </v>
      </c>
    </row>
    <row r="40" spans="1:93">
      <c r="L40" s="340" t="s">
        <v>6</v>
      </c>
      <c r="M40" s="363" t="s">
        <v>5</v>
      </c>
      <c r="R40" s="371"/>
      <c r="S40" s="380"/>
      <c r="T40" s="371"/>
      <c r="U40" s="380"/>
      <c r="V40" s="363"/>
      <c r="Z40" s="363" t="str">
        <f>HInport!Q4</f>
        <v/>
      </c>
      <c r="AD40" s="371"/>
      <c r="AE40" s="393"/>
      <c r="AF40" s="372"/>
      <c r="AJ40" s="363" t="str">
        <f>Import!N7</f>
        <v xml:space="preserve"> </v>
      </c>
      <c r="AP40" s="363" t="str">
        <f>Import!N8</f>
        <v xml:space="preserve"> </v>
      </c>
      <c r="AV40" s="363" t="str">
        <f>Import!N9</f>
        <v xml:space="preserve"> </v>
      </c>
      <c r="BB40" s="363" t="str">
        <f>Import!N10</f>
        <v xml:space="preserve"> </v>
      </c>
      <c r="BH40" s="363" t="str">
        <f>Import!N11</f>
        <v xml:space="preserve"> </v>
      </c>
      <c r="BN40" s="363" t="str">
        <f>Import!N12</f>
        <v xml:space="preserve"> </v>
      </c>
      <c r="BT40" s="363" t="str">
        <f>Import!N13</f>
        <v xml:space="preserve"> </v>
      </c>
      <c r="BZ40" s="363" t="str">
        <f>Import!N14</f>
        <v xml:space="preserve"> </v>
      </c>
      <c r="CF40" s="363" t="str">
        <f>Import!N15</f>
        <v xml:space="preserve"> </v>
      </c>
      <c r="CL40" s="363" t="str">
        <f>Import!N16</f>
        <v xml:space="preserve"> </v>
      </c>
    </row>
    <row r="41" spans="1:93" ht="6" customHeight="1">
      <c r="L41" s="340"/>
      <c r="M41" s="371"/>
      <c r="R41" s="371"/>
      <c r="S41" s="380"/>
      <c r="T41" s="371"/>
      <c r="U41" s="380" t="str">
        <f>IF(B27="YES","___"," ")</f>
        <v>___</v>
      </c>
      <c r="V41" s="363" t="str">
        <f>IF(B27="YES","___"," ")</f>
        <v>___</v>
      </c>
      <c r="Z41" s="363"/>
      <c r="AD41" s="371"/>
      <c r="AE41" s="393"/>
      <c r="AF41" s="372"/>
      <c r="AJ41" s="363"/>
      <c r="AP41" s="363"/>
      <c r="AV41" s="363"/>
      <c r="BB41" s="363"/>
      <c r="BH41" s="363"/>
      <c r="BN41" s="363"/>
      <c r="BT41" s="363"/>
      <c r="BZ41" s="363"/>
      <c r="CF41" s="363"/>
      <c r="CL41" s="363"/>
    </row>
    <row r="42" spans="1:93" ht="6" customHeight="1">
      <c r="L42" s="340"/>
      <c r="M42" s="371"/>
      <c r="R42" s="371"/>
      <c r="S42" s="380"/>
      <c r="T42" s="371"/>
      <c r="U42" s="380" t="str">
        <f>IF(B27="YES","__"," ")</f>
        <v>__</v>
      </c>
      <c r="V42" s="363" t="str">
        <f>IF(B27="YES","__"," ")</f>
        <v>__</v>
      </c>
      <c r="Z42" s="363"/>
      <c r="AD42" s="371"/>
      <c r="AE42" s="393"/>
      <c r="AF42" s="372"/>
      <c r="AJ42" s="363"/>
      <c r="AP42" s="363"/>
      <c r="AV42" s="363"/>
      <c r="BB42" s="363"/>
      <c r="BH42" s="363"/>
      <c r="BN42" s="363"/>
      <c r="BT42" s="363"/>
      <c r="BZ42" s="363"/>
      <c r="CF42" s="363"/>
      <c r="CL42" s="363"/>
    </row>
    <row r="43" spans="1:93" ht="6" customHeight="1">
      <c r="S43" s="380"/>
      <c r="T43" s="371"/>
      <c r="U43" s="380" t="str">
        <f>IF(B27="YES","_"," ")</f>
        <v>_</v>
      </c>
      <c r="V43" s="363" t="str">
        <f>IF(B27="YES","_"," ")</f>
        <v>_</v>
      </c>
      <c r="Z43" s="363"/>
      <c r="AD43" s="371"/>
      <c r="AE43" s="393"/>
      <c r="AF43" s="372"/>
      <c r="AJ43" s="363"/>
      <c r="AP43" s="363"/>
      <c r="AV43" s="363"/>
      <c r="BB43" s="363"/>
      <c r="BH43" s="363"/>
      <c r="BN43" s="363"/>
      <c r="BT43" s="363"/>
      <c r="BZ43" s="363"/>
      <c r="CF43" s="363"/>
      <c r="CL43" s="363"/>
    </row>
    <row r="44" spans="1:93">
      <c r="S44" s="371"/>
      <c r="Z44" s="363"/>
      <c r="AD44" s="371"/>
      <c r="AE44" s="393"/>
      <c r="AF44" s="372"/>
      <c r="AJ44" s="363"/>
      <c r="AP44" s="363"/>
      <c r="AV44" s="363"/>
      <c r="BB44" s="363"/>
      <c r="BH44" s="363"/>
      <c r="BN44" s="363"/>
      <c r="BT44" s="363"/>
      <c r="BZ44" s="363"/>
      <c r="CF44" s="363"/>
      <c r="CL44" s="363"/>
    </row>
    <row r="45" spans="1:93">
      <c r="S45" s="371"/>
      <c r="Y45" s="340" t="str">
        <f>IF(B29="NO"," ",IF(B25="NO"," ",AFC!P34))</f>
        <v xml:space="preserve"> </v>
      </c>
      <c r="Z45" s="363" t="str">
        <f>HInport!K4</f>
        <v xml:space="preserve"> 0.0 % VD</v>
      </c>
      <c r="AD45" s="371"/>
      <c r="AE45" s="393"/>
      <c r="AF45" s="372"/>
      <c r="AI45" s="340" t="str">
        <f>IF(B29="NO"," ",AFC!P4)</f>
        <v xml:space="preserve">8.2 K </v>
      </c>
      <c r="AJ45" s="363" t="str">
        <f>IF(B30="NO"," ",Import!O7)</f>
        <v xml:space="preserve"> 0.7 % VD</v>
      </c>
      <c r="AO45" s="340" t="str">
        <f>IF(B29="NO"," ",AFC!P5)</f>
        <v xml:space="preserve">8.2 K </v>
      </c>
      <c r="AP45" s="363" t="str">
        <f>IF(B30="NO"," ",Import!O8)</f>
        <v xml:space="preserve"> 0.7 % VD</v>
      </c>
      <c r="AU45" s="340" t="str">
        <f>IF(B29="NO"," ",AFC!P6)</f>
        <v xml:space="preserve">8.2 K </v>
      </c>
      <c r="AV45" s="363" t="str">
        <f>IF(B30="NO"," ",Import!O9)</f>
        <v xml:space="preserve"> 0.7 % VD</v>
      </c>
      <c r="BA45" s="340" t="str">
        <f>IF(B29="NO"," ",AFC!P7)</f>
        <v xml:space="preserve">8.2 K </v>
      </c>
      <c r="BB45" s="363" t="str">
        <f>IF(B30="NO"," ",Import!O10)</f>
        <v xml:space="preserve"> 0.7 % VD</v>
      </c>
      <c r="BG45" s="340" t="str">
        <f>IF(B29="NO"," ",AFC!P8)</f>
        <v xml:space="preserve">8.2 K </v>
      </c>
      <c r="BH45" s="363" t="str">
        <f>IF(B30="NO"," ",Import!O11)</f>
        <v xml:space="preserve"> 0.7 % VD</v>
      </c>
      <c r="BM45" s="340" t="str">
        <f>IF(B29="NO"," ",AFC!P9)</f>
        <v xml:space="preserve">8.2 K </v>
      </c>
      <c r="BN45" s="363" t="str">
        <f>IF(B30="NO"," ",Import!O12)</f>
        <v xml:space="preserve"> 0.7 % VD</v>
      </c>
      <c r="BS45" s="340" t="str">
        <f>IF(B29="NO"," ",AFC!P10)</f>
        <v/>
      </c>
      <c r="BT45" s="363" t="str">
        <f>IF(B30="NO"," ",Import!O13)</f>
        <v xml:space="preserve"> </v>
      </c>
      <c r="BY45" s="340" t="str">
        <f>IF(B29="NO"," ",AFC!P11)</f>
        <v/>
      </c>
      <c r="BZ45" s="363" t="str">
        <f>IF(B30="NO"," ",Import!O14)</f>
        <v xml:space="preserve"> </v>
      </c>
      <c r="CE45" s="340" t="str">
        <f>IF(B29="NO"," ",AFC!P12)</f>
        <v/>
      </c>
      <c r="CF45" s="363" t="str">
        <f>IF(B30="NO"," ",Import!O15)</f>
        <v xml:space="preserve"> </v>
      </c>
      <c r="CK45" s="340" t="str">
        <f>IF(B29="NO"," ",AFC!P13)</f>
        <v/>
      </c>
      <c r="CL45" s="363" t="str">
        <f>IF(B30="NO"," ",Import!O16)</f>
        <v xml:space="preserve"> </v>
      </c>
    </row>
    <row r="46" spans="1:93">
      <c r="S46" s="371"/>
      <c r="X46" s="374"/>
      <c r="Y46" s="375"/>
      <c r="Z46" s="375"/>
      <c r="AA46" s="377"/>
      <c r="AB46" s="371"/>
      <c r="AC46" s="371"/>
      <c r="AD46" s="371"/>
      <c r="AE46" s="393"/>
      <c r="AF46" s="372"/>
      <c r="AH46" s="374"/>
      <c r="AI46" s="375"/>
      <c r="AJ46" s="375"/>
      <c r="AK46" s="377"/>
      <c r="AN46" s="374"/>
      <c r="AO46" s="375"/>
      <c r="AP46" s="375"/>
      <c r="AQ46" s="377"/>
      <c r="AT46" s="374"/>
      <c r="AU46" s="375"/>
      <c r="AV46" s="375"/>
      <c r="AW46" s="377"/>
      <c r="AZ46" s="374"/>
      <c r="BA46" s="375"/>
      <c r="BB46" s="375"/>
      <c r="BC46" s="377"/>
      <c r="BF46" s="374"/>
      <c r="BG46" s="375"/>
      <c r="BH46" s="375"/>
      <c r="BI46" s="377"/>
      <c r="BL46" s="374"/>
      <c r="BM46" s="375"/>
      <c r="BN46" s="375"/>
      <c r="BO46" s="377"/>
      <c r="BR46" s="374"/>
      <c r="BS46" s="375"/>
      <c r="BT46" s="375"/>
      <c r="BU46" s="377"/>
      <c r="BX46" s="374"/>
      <c r="BY46" s="375"/>
      <c r="BZ46" s="375"/>
      <c r="CA46" s="377"/>
      <c r="CD46" s="374"/>
      <c r="CE46" s="375"/>
      <c r="CF46" s="375"/>
      <c r="CG46" s="377"/>
      <c r="CJ46" s="374"/>
      <c r="CK46" s="375"/>
      <c r="CL46" s="375"/>
      <c r="CM46" s="377"/>
    </row>
    <row r="47" spans="1:93">
      <c r="S47" s="371"/>
      <c r="X47" s="363"/>
      <c r="Y47" s="371"/>
      <c r="Z47" s="371"/>
      <c r="AA47" s="373"/>
      <c r="AB47" s="371"/>
      <c r="AC47" s="371"/>
      <c r="AD47" s="371"/>
      <c r="AE47" s="393"/>
      <c r="AF47" s="372"/>
      <c r="AH47" s="363" t="s">
        <v>7</v>
      </c>
      <c r="AI47" s="371"/>
      <c r="AJ47" s="371"/>
      <c r="AK47" s="373"/>
      <c r="AN47" s="363" t="s">
        <v>7</v>
      </c>
      <c r="AO47" s="371"/>
      <c r="AP47" s="371"/>
      <c r="AQ47" s="373"/>
      <c r="AT47" s="363" t="s">
        <v>7</v>
      </c>
      <c r="AU47" s="371"/>
      <c r="AV47" s="371"/>
      <c r="AW47" s="373"/>
      <c r="AZ47" s="363" t="s">
        <v>7</v>
      </c>
      <c r="BA47" s="371"/>
      <c r="BB47" s="371"/>
      <c r="BC47" s="373"/>
      <c r="BF47" s="363" t="s">
        <v>7</v>
      </c>
      <c r="BG47" s="371"/>
      <c r="BH47" s="371"/>
      <c r="BI47" s="373"/>
      <c r="BL47" s="363" t="s">
        <v>7</v>
      </c>
      <c r="BM47" s="371"/>
      <c r="BN47" s="371"/>
      <c r="BO47" s="373"/>
      <c r="BR47" s="363" t="s">
        <v>7</v>
      </c>
      <c r="BS47" s="371"/>
      <c r="BT47" s="371"/>
      <c r="BU47" s="373"/>
      <c r="BX47" s="363" t="s">
        <v>7</v>
      </c>
      <c r="BY47" s="371"/>
      <c r="BZ47" s="371"/>
      <c r="CA47" s="373"/>
      <c r="CD47" s="363" t="s">
        <v>7</v>
      </c>
      <c r="CE47" s="371"/>
      <c r="CF47" s="371"/>
      <c r="CG47" s="373"/>
      <c r="CJ47" s="363" t="s">
        <v>7</v>
      </c>
      <c r="CK47" s="371"/>
      <c r="CL47" s="371"/>
      <c r="CM47" s="373"/>
    </row>
    <row r="48" spans="1:93">
      <c r="S48" s="371"/>
      <c r="X48" s="363" t="str">
        <f>IF(B25="YES"," HOUSE"," ")</f>
        <v xml:space="preserve"> </v>
      </c>
      <c r="Y48" s="371"/>
      <c r="Z48" s="371"/>
      <c r="AA48" s="373"/>
      <c r="AB48" s="371"/>
      <c r="AC48" s="371"/>
      <c r="AD48" s="371"/>
      <c r="AE48" s="393"/>
      <c r="AF48" s="372"/>
      <c r="AH48" s="363" t="s">
        <v>8</v>
      </c>
      <c r="AI48" s="371"/>
      <c r="AJ48" s="371"/>
      <c r="AK48" s="373"/>
      <c r="AN48" s="363" t="s">
        <v>8</v>
      </c>
      <c r="AO48" s="371"/>
      <c r="AP48" s="371"/>
      <c r="AQ48" s="373"/>
      <c r="AT48" s="363" t="s">
        <v>8</v>
      </c>
      <c r="AU48" s="371"/>
      <c r="AV48" s="371"/>
      <c r="AW48" s="373"/>
      <c r="AZ48" s="363" t="s">
        <v>8</v>
      </c>
      <c r="BA48" s="371"/>
      <c r="BB48" s="371"/>
      <c r="BC48" s="373"/>
      <c r="BF48" s="363" t="s">
        <v>8</v>
      </c>
      <c r="BG48" s="371"/>
      <c r="BH48" s="371"/>
      <c r="BI48" s="373"/>
      <c r="BL48" s="363" t="s">
        <v>8</v>
      </c>
      <c r="BM48" s="371"/>
      <c r="BN48" s="371"/>
      <c r="BO48" s="373"/>
      <c r="BR48" s="363" t="s">
        <v>8</v>
      </c>
      <c r="BS48" s="371"/>
      <c r="BT48" s="371"/>
      <c r="BU48" s="373"/>
      <c r="BX48" s="363" t="s">
        <v>8</v>
      </c>
      <c r="BY48" s="371"/>
      <c r="BZ48" s="371"/>
      <c r="CA48" s="373"/>
      <c r="CD48" s="363" t="s">
        <v>8</v>
      </c>
      <c r="CE48" s="371"/>
      <c r="CF48" s="371"/>
      <c r="CG48" s="373"/>
      <c r="CJ48" s="363" t="s">
        <v>8</v>
      </c>
      <c r="CK48" s="371"/>
      <c r="CL48" s="371"/>
      <c r="CM48" s="373"/>
    </row>
    <row r="49" spans="1:93">
      <c r="S49" s="371"/>
      <c r="X49" s="363" t="str">
        <f>IF(B25="YES"," PANEL"," ")</f>
        <v xml:space="preserve"> </v>
      </c>
      <c r="Y49" s="371"/>
      <c r="Z49" s="371"/>
      <c r="AA49" s="373"/>
      <c r="AB49" s="371"/>
      <c r="AC49" s="371"/>
      <c r="AD49" s="371"/>
      <c r="AE49" s="393"/>
      <c r="AF49" s="372"/>
      <c r="AH49" s="363" t="s">
        <v>9</v>
      </c>
      <c r="AI49" s="371"/>
      <c r="AJ49" s="371"/>
      <c r="AK49" s="373"/>
      <c r="AN49" s="363" t="s">
        <v>9</v>
      </c>
      <c r="AO49" s="371"/>
      <c r="AP49" s="371"/>
      <c r="AQ49" s="373"/>
      <c r="AT49" s="363" t="s">
        <v>9</v>
      </c>
      <c r="AU49" s="371"/>
      <c r="AV49" s="371"/>
      <c r="AW49" s="373"/>
      <c r="AZ49" s="363" t="s">
        <v>9</v>
      </c>
      <c r="BA49" s="371"/>
      <c r="BB49" s="371"/>
      <c r="BC49" s="373"/>
      <c r="BF49" s="363" t="s">
        <v>9</v>
      </c>
      <c r="BG49" s="371"/>
      <c r="BH49" s="371"/>
      <c r="BI49" s="373"/>
      <c r="BL49" s="363" t="s">
        <v>9</v>
      </c>
      <c r="BM49" s="371"/>
      <c r="BN49" s="371"/>
      <c r="BO49" s="373"/>
      <c r="BR49" s="363" t="s">
        <v>9</v>
      </c>
      <c r="BS49" s="371"/>
      <c r="BT49" s="371"/>
      <c r="BU49" s="373"/>
      <c r="BX49" s="363" t="s">
        <v>9</v>
      </c>
      <c r="BY49" s="371"/>
      <c r="BZ49" s="371"/>
      <c r="CA49" s="373"/>
      <c r="CD49" s="363" t="s">
        <v>9</v>
      </c>
      <c r="CE49" s="371"/>
      <c r="CF49" s="371"/>
      <c r="CG49" s="373"/>
      <c r="CJ49" s="363" t="s">
        <v>9</v>
      </c>
      <c r="CK49" s="371"/>
      <c r="CL49" s="371"/>
      <c r="CM49" s="373"/>
    </row>
    <row r="50" spans="1:93">
      <c r="S50" s="371"/>
      <c r="X50" s="363" t="str">
        <f>HInport!F4</f>
        <v xml:space="preserve"> HP1</v>
      </c>
      <c r="Y50" s="371"/>
      <c r="Z50" s="371"/>
      <c r="AA50" s="373"/>
      <c r="AB50" s="371"/>
      <c r="AC50" s="371"/>
      <c r="AD50" s="371"/>
      <c r="AE50" s="393"/>
      <c r="AF50" s="372"/>
      <c r="AH50" s="363" t="str">
        <f>Import!E7</f>
        <v xml:space="preserve"> DP</v>
      </c>
      <c r="AI50" s="371"/>
      <c r="AJ50" s="371"/>
      <c r="AK50" s="373"/>
      <c r="AN50" s="363" t="str">
        <f>Import!E8</f>
        <v xml:space="preserve"> DP</v>
      </c>
      <c r="AO50" s="371"/>
      <c r="AP50" s="371"/>
      <c r="AQ50" s="373"/>
      <c r="AT50" s="363" t="str">
        <f>Import!E9</f>
        <v xml:space="preserve"> DP</v>
      </c>
      <c r="AU50" s="371"/>
      <c r="AV50" s="371"/>
      <c r="AW50" s="373"/>
      <c r="AZ50" s="363" t="str">
        <f>Import!E10</f>
        <v xml:space="preserve"> DP</v>
      </c>
      <c r="BA50" s="371"/>
      <c r="BB50" s="371"/>
      <c r="BC50" s="373"/>
      <c r="BF50" s="363" t="str">
        <f>Import!E11</f>
        <v xml:space="preserve"> DP</v>
      </c>
      <c r="BG50" s="371"/>
      <c r="BH50" s="371"/>
      <c r="BI50" s="373"/>
      <c r="BL50" s="363" t="str">
        <f>Import!E12</f>
        <v xml:space="preserve"> DP</v>
      </c>
      <c r="BM50" s="371"/>
      <c r="BN50" s="371"/>
      <c r="BO50" s="373"/>
      <c r="BR50" s="363" t="str">
        <f>Import!E13</f>
        <v xml:space="preserve"> </v>
      </c>
      <c r="BS50" s="371"/>
      <c r="BT50" s="371"/>
      <c r="BU50" s="373"/>
      <c r="BX50" s="363" t="str">
        <f>Import!E14</f>
        <v xml:space="preserve"> </v>
      </c>
      <c r="BY50" s="371"/>
      <c r="BZ50" s="371"/>
      <c r="CA50" s="373"/>
      <c r="CD50" s="363" t="str">
        <f>Import!E15</f>
        <v xml:space="preserve"> </v>
      </c>
      <c r="CE50" s="371"/>
      <c r="CF50" s="371"/>
      <c r="CG50" s="373"/>
      <c r="CJ50" s="363" t="str">
        <f>Import!E16</f>
        <v xml:space="preserve"> </v>
      </c>
      <c r="CK50" s="371"/>
      <c r="CL50" s="371"/>
      <c r="CM50" s="373"/>
    </row>
    <row r="51" spans="1:93">
      <c r="S51" s="371"/>
      <c r="X51" s="378"/>
      <c r="Y51" s="381"/>
      <c r="Z51" s="381"/>
      <c r="AA51" s="382"/>
      <c r="AB51" s="371"/>
      <c r="AC51" s="371"/>
      <c r="AD51" s="371"/>
      <c r="AE51" s="393"/>
      <c r="AF51" s="372"/>
      <c r="AH51" s="378"/>
      <c r="AI51" s="381"/>
      <c r="AJ51" s="381"/>
      <c r="AK51" s="382"/>
      <c r="AN51" s="378"/>
      <c r="AO51" s="381"/>
      <c r="AP51" s="381"/>
      <c r="AQ51" s="382"/>
      <c r="AT51" s="378"/>
      <c r="AU51" s="381"/>
      <c r="AV51" s="381"/>
      <c r="AW51" s="382"/>
      <c r="AZ51" s="378"/>
      <c r="BA51" s="381"/>
      <c r="BB51" s="381"/>
      <c r="BC51" s="382"/>
      <c r="BF51" s="378"/>
      <c r="BG51" s="381"/>
      <c r="BH51" s="381"/>
      <c r="BI51" s="382"/>
      <c r="BL51" s="378"/>
      <c r="BM51" s="381"/>
      <c r="BN51" s="381"/>
      <c r="BO51" s="382"/>
      <c r="BR51" s="378"/>
      <c r="BS51" s="381"/>
      <c r="BT51" s="381"/>
      <c r="BU51" s="382"/>
      <c r="BX51" s="378"/>
      <c r="BY51" s="381"/>
      <c r="BZ51" s="381"/>
      <c r="CA51" s="382"/>
      <c r="CD51" s="378"/>
      <c r="CE51" s="381"/>
      <c r="CF51" s="381"/>
      <c r="CG51" s="382"/>
      <c r="CJ51" s="378"/>
      <c r="CK51" s="381"/>
      <c r="CL51" s="381"/>
      <c r="CM51" s="382"/>
    </row>
    <row r="52" spans="1:93">
      <c r="A52" s="364" t="s">
        <v>31</v>
      </c>
      <c r="B52" s="308" t="str">
        <f>B25</f>
        <v>NO</v>
      </c>
      <c r="S52" s="371"/>
      <c r="Z52" s="374"/>
      <c r="AD52" s="371"/>
      <c r="AE52" s="393"/>
      <c r="AF52" s="372"/>
    </row>
    <row r="53" spans="1:93">
      <c r="A53" s="364" t="s">
        <v>47</v>
      </c>
      <c r="B53" s="308" t="s">
        <v>177</v>
      </c>
      <c r="S53" s="371"/>
      <c r="Z53" s="363" t="s">
        <v>53</v>
      </c>
      <c r="AD53" s="371"/>
      <c r="AE53" s="393"/>
      <c r="AF53" s="372"/>
    </row>
    <row r="54" spans="1:93">
      <c r="H54" s="529"/>
      <c r="S54" s="371"/>
      <c r="Z54" s="363" t="s">
        <v>53</v>
      </c>
      <c r="AD54" s="371"/>
      <c r="AE54" s="393"/>
      <c r="AF54" s="372"/>
    </row>
    <row r="55" spans="1:93">
      <c r="S55" s="371"/>
      <c r="Z55" s="363" t="s">
        <v>53</v>
      </c>
      <c r="AD55" s="371"/>
      <c r="AE55" s="393"/>
      <c r="AF55" s="371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9"/>
    </row>
    <row r="56" spans="1:93">
      <c r="S56" s="371"/>
      <c r="Z56" s="363" t="s">
        <v>53</v>
      </c>
      <c r="AD56" s="371"/>
      <c r="AE56" s="393"/>
      <c r="AF56" s="375"/>
      <c r="AG56" s="375"/>
      <c r="AH56" s="375"/>
      <c r="AI56" s="375"/>
      <c r="AJ56" s="376"/>
      <c r="AK56" s="375"/>
      <c r="AL56" s="375"/>
      <c r="AM56" s="375"/>
      <c r="AN56" s="375"/>
      <c r="AO56" s="375"/>
      <c r="AP56" s="376"/>
      <c r="AQ56" s="375"/>
      <c r="AR56" s="375"/>
      <c r="AS56" s="375"/>
      <c r="AT56" s="375"/>
      <c r="AU56" s="375"/>
      <c r="AV56" s="376"/>
      <c r="AW56" s="375"/>
      <c r="AX56" s="375"/>
      <c r="AY56" s="375"/>
      <c r="AZ56" s="375"/>
      <c r="BA56" s="375"/>
      <c r="BB56" s="376"/>
      <c r="BC56" s="375"/>
      <c r="BD56" s="375"/>
      <c r="BE56" s="375"/>
      <c r="BF56" s="375"/>
      <c r="BG56" s="375"/>
      <c r="BH56" s="376"/>
      <c r="BI56" s="375"/>
      <c r="BJ56" s="375"/>
      <c r="BK56" s="375"/>
      <c r="BL56" s="375"/>
      <c r="BM56" s="375"/>
      <c r="BN56" s="376"/>
      <c r="BO56" s="375"/>
      <c r="BP56" s="375"/>
      <c r="BQ56" s="375"/>
      <c r="BR56" s="375"/>
      <c r="BS56" s="375"/>
      <c r="BT56" s="376"/>
      <c r="BU56" s="375"/>
      <c r="BV56" s="375"/>
      <c r="BW56" s="375"/>
      <c r="BX56" s="375"/>
      <c r="BY56" s="375"/>
      <c r="BZ56" s="376"/>
      <c r="CA56" s="375"/>
      <c r="CB56" s="375"/>
      <c r="CC56" s="375"/>
      <c r="CD56" s="375"/>
      <c r="CE56" s="375"/>
      <c r="CF56" s="376"/>
      <c r="CG56" s="375"/>
      <c r="CH56" s="375"/>
      <c r="CI56" s="375"/>
      <c r="CJ56" s="375"/>
      <c r="CK56" s="375"/>
      <c r="CL56" s="378"/>
      <c r="CM56" s="371"/>
      <c r="CN56" s="371"/>
      <c r="CO56" s="372"/>
    </row>
    <row r="57" spans="1:93">
      <c r="S57" s="371"/>
      <c r="Z57" s="363" t="s">
        <v>53</v>
      </c>
      <c r="AD57" s="371"/>
      <c r="AE57" s="393"/>
      <c r="AF57" s="371"/>
      <c r="AG57" s="371"/>
      <c r="AH57" s="374"/>
      <c r="AI57" s="375" t="s">
        <v>19</v>
      </c>
      <c r="AJ57" s="375"/>
      <c r="AK57" s="377"/>
      <c r="AL57" s="371"/>
      <c r="AM57" s="371"/>
      <c r="AN57" s="374"/>
      <c r="AO57" s="375" t="s">
        <v>18</v>
      </c>
      <c r="AP57" s="375"/>
      <c r="AQ57" s="377"/>
      <c r="AR57" s="371"/>
      <c r="AS57" s="371"/>
      <c r="AT57" s="374"/>
      <c r="AU57" s="375" t="s">
        <v>17</v>
      </c>
      <c r="AV57" s="375"/>
      <c r="AW57" s="377"/>
      <c r="AX57" s="371"/>
      <c r="AY57" s="371"/>
      <c r="AZ57" s="374"/>
      <c r="BA57" s="375" t="s">
        <v>16</v>
      </c>
      <c r="BB57" s="375"/>
      <c r="BC57" s="377"/>
      <c r="BD57" s="371"/>
      <c r="BE57" s="371"/>
      <c r="BF57" s="374"/>
      <c r="BG57" s="375" t="s">
        <v>15</v>
      </c>
      <c r="BH57" s="375"/>
      <c r="BI57" s="377"/>
      <c r="BJ57" s="371"/>
      <c r="BK57" s="371"/>
      <c r="BL57" s="374"/>
      <c r="BM57" s="375" t="s">
        <v>14</v>
      </c>
      <c r="BN57" s="375"/>
      <c r="BO57" s="377"/>
      <c r="BP57" s="371"/>
      <c r="BQ57" s="371"/>
      <c r="BR57" s="374"/>
      <c r="BS57" s="375" t="s">
        <v>13</v>
      </c>
      <c r="BT57" s="375"/>
      <c r="BU57" s="377"/>
      <c r="BV57" s="371"/>
      <c r="BW57" s="371"/>
      <c r="BX57" s="374"/>
      <c r="BY57" s="375" t="s">
        <v>12</v>
      </c>
      <c r="BZ57" s="375"/>
      <c r="CA57" s="377"/>
      <c r="CB57" s="371"/>
      <c r="CC57" s="371"/>
      <c r="CD57" s="374"/>
      <c r="CE57" s="375" t="s">
        <v>11</v>
      </c>
      <c r="CF57" s="375"/>
      <c r="CG57" s="377"/>
      <c r="CH57" s="371"/>
      <c r="CI57" s="371"/>
      <c r="CJ57" s="374"/>
      <c r="CK57" s="375" t="s">
        <v>10</v>
      </c>
      <c r="CL57" s="375"/>
      <c r="CM57" s="377"/>
      <c r="CN57" s="371"/>
      <c r="CO57" s="372"/>
    </row>
    <row r="58" spans="1:93">
      <c r="S58" s="371"/>
      <c r="Z58" s="363" t="s">
        <v>53</v>
      </c>
      <c r="AD58" s="371"/>
      <c r="AE58" s="393"/>
      <c r="AF58" s="371"/>
      <c r="AG58" s="371"/>
      <c r="AH58" s="378"/>
      <c r="AI58" s="381" t="s">
        <v>0</v>
      </c>
      <c r="AJ58" s="381"/>
      <c r="AK58" s="382"/>
      <c r="AL58" s="371"/>
      <c r="AM58" s="371"/>
      <c r="AN58" s="378"/>
      <c r="AO58" s="381" t="s">
        <v>0</v>
      </c>
      <c r="AP58" s="381"/>
      <c r="AQ58" s="382"/>
      <c r="AR58" s="371"/>
      <c r="AS58" s="371"/>
      <c r="AT58" s="378"/>
      <c r="AU58" s="381" t="s">
        <v>0</v>
      </c>
      <c r="AV58" s="381"/>
      <c r="AW58" s="382"/>
      <c r="AX58" s="371"/>
      <c r="AY58" s="371"/>
      <c r="AZ58" s="378"/>
      <c r="BA58" s="381" t="s">
        <v>0</v>
      </c>
      <c r="BB58" s="381"/>
      <c r="BC58" s="382"/>
      <c r="BD58" s="371"/>
      <c r="BE58" s="371"/>
      <c r="BF58" s="378"/>
      <c r="BG58" s="381" t="s">
        <v>0</v>
      </c>
      <c r="BH58" s="381"/>
      <c r="BI58" s="382"/>
      <c r="BJ58" s="371"/>
      <c r="BK58" s="371"/>
      <c r="BL58" s="378"/>
      <c r="BM58" s="381" t="s">
        <v>0</v>
      </c>
      <c r="BN58" s="381"/>
      <c r="BO58" s="382"/>
      <c r="BP58" s="371"/>
      <c r="BQ58" s="371"/>
      <c r="BR58" s="378"/>
      <c r="BS58" s="381" t="s">
        <v>0</v>
      </c>
      <c r="BT58" s="381"/>
      <c r="BU58" s="382"/>
      <c r="BV58" s="371"/>
      <c r="BW58" s="371"/>
      <c r="BX58" s="378"/>
      <c r="BY58" s="381" t="s">
        <v>0</v>
      </c>
      <c r="BZ58" s="381"/>
      <c r="CA58" s="382"/>
      <c r="CB58" s="371"/>
      <c r="CC58" s="371"/>
      <c r="CD58" s="378"/>
      <c r="CE58" s="381" t="s">
        <v>0</v>
      </c>
      <c r="CF58" s="381"/>
      <c r="CG58" s="382"/>
      <c r="CH58" s="371"/>
      <c r="CI58" s="371"/>
      <c r="CJ58" s="378"/>
      <c r="CK58" s="381" t="s">
        <v>0</v>
      </c>
      <c r="CL58" s="381"/>
      <c r="CM58" s="382"/>
      <c r="CN58" s="371"/>
      <c r="CO58" s="372"/>
    </row>
    <row r="59" spans="1:93">
      <c r="S59" s="371"/>
      <c r="Z59" s="363" t="s">
        <v>118</v>
      </c>
      <c r="AD59" s="371"/>
      <c r="AE59" s="393"/>
      <c r="AF59" s="371"/>
      <c r="AG59" s="371"/>
      <c r="AH59" s="371"/>
      <c r="AI59" s="371"/>
      <c r="AJ59" s="374" t="str">
        <f>IF(AJ61=" SINGLE PHASE"," ( L2 &amp; L3 )","")</f>
        <v/>
      </c>
      <c r="AK59" s="371"/>
      <c r="AL59" s="371"/>
      <c r="AM59" s="371"/>
      <c r="AN59" s="371"/>
      <c r="AO59" s="371"/>
      <c r="AP59" s="374" t="str">
        <f>IF(AP61=" SINGLE PHASE"," ( L1 &amp; L3 )","")</f>
        <v/>
      </c>
      <c r="AQ59" s="371"/>
      <c r="AR59" s="371"/>
      <c r="AS59" s="371"/>
      <c r="AT59" s="371"/>
      <c r="AU59" s="371"/>
      <c r="AV59" s="374" t="str">
        <f>IF(AV61=" SINGLE PHASE"," ( L1 &amp; L2 )","")</f>
        <v/>
      </c>
      <c r="AW59" s="371"/>
      <c r="AX59" s="371"/>
      <c r="AY59" s="371"/>
      <c r="AZ59" s="371"/>
      <c r="BA59" s="371"/>
      <c r="BB59" s="374" t="str">
        <f>IF(BB61=" SINGLE PHASE"," ( L2 &amp; L3 )","")</f>
        <v/>
      </c>
      <c r="BC59" s="371"/>
      <c r="BD59" s="371"/>
      <c r="BE59" s="371"/>
      <c r="BF59" s="371"/>
      <c r="BG59" s="371"/>
      <c r="BH59" s="374" t="str">
        <f>IF(BH61=" SINGLE PHASE"," ( L1 &amp; L3 )","")</f>
        <v/>
      </c>
      <c r="BI59" s="371"/>
      <c r="BJ59" s="371"/>
      <c r="BK59" s="371"/>
      <c r="BL59" s="371"/>
      <c r="BM59" s="371"/>
      <c r="BN59" s="374" t="str">
        <f>IF(BN61=" SINGLE PHASE"," ( L1 &amp; L2 )","")</f>
        <v/>
      </c>
      <c r="BO59" s="371"/>
      <c r="BP59" s="371"/>
      <c r="BQ59" s="371"/>
      <c r="BR59" s="371"/>
      <c r="BS59" s="371"/>
      <c r="BT59" s="374" t="str">
        <f>IF(BT61=" SINGLE PHASE"," ( L2 &amp; L3 )","")</f>
        <v/>
      </c>
      <c r="BU59" s="371"/>
      <c r="BV59" s="371"/>
      <c r="BW59" s="371"/>
      <c r="BX59" s="371"/>
      <c r="BY59" s="371"/>
      <c r="BZ59" s="374" t="str">
        <f>IF(BZ61=" SINGLE PHASE"," ( L1 &amp; L3 )","")</f>
        <v/>
      </c>
      <c r="CA59" s="371"/>
      <c r="CB59" s="371"/>
      <c r="CC59" s="371"/>
      <c r="CD59" s="371"/>
      <c r="CE59" s="371"/>
      <c r="CF59" s="374" t="str">
        <f>IF(CF61=" SINGLE PHASE"," ( L1 &amp; L2 )","")</f>
        <v/>
      </c>
      <c r="CG59" s="371"/>
      <c r="CH59" s="371"/>
      <c r="CI59" s="371"/>
      <c r="CJ59" s="371"/>
      <c r="CK59" s="371"/>
      <c r="CL59" s="374" t="str">
        <f>IF(CL61=" SINGLE PHASE"," ( L2 &amp; L3 )","")</f>
        <v/>
      </c>
      <c r="CM59" s="371"/>
      <c r="CN59" s="371"/>
      <c r="CO59" s="372"/>
    </row>
    <row r="60" spans="1:93">
      <c r="S60" s="371"/>
      <c r="Z60" s="363" t="s">
        <v>118</v>
      </c>
      <c r="AD60" s="371"/>
      <c r="AE60" s="393"/>
      <c r="AF60" s="371"/>
      <c r="AG60" s="371"/>
      <c r="AH60" s="371"/>
      <c r="AI60" s="380" t="s">
        <v>1</v>
      </c>
      <c r="AJ60" s="371" t="str">
        <f>Import!G17</f>
        <v xml:space="preserve"> </v>
      </c>
      <c r="AK60" s="371"/>
      <c r="AL60" s="371"/>
      <c r="AM60" s="371"/>
      <c r="AN60" s="371"/>
      <c r="AO60" s="380" t="s">
        <v>1</v>
      </c>
      <c r="AP60" s="371" t="str">
        <f>Import!G18</f>
        <v xml:space="preserve"> </v>
      </c>
      <c r="AQ60" s="371"/>
      <c r="AR60" s="371"/>
      <c r="AS60" s="371"/>
      <c r="AT60" s="371"/>
      <c r="AU60" s="380" t="s">
        <v>1</v>
      </c>
      <c r="AV60" s="371" t="str">
        <f>Import!G19</f>
        <v xml:space="preserve"> </v>
      </c>
      <c r="AW60" s="371"/>
      <c r="AX60" s="371"/>
      <c r="AY60" s="371"/>
      <c r="AZ60" s="371"/>
      <c r="BA60" s="380" t="s">
        <v>1</v>
      </c>
      <c r="BB60" s="371" t="str">
        <f>Import!G20</f>
        <v xml:space="preserve"> </v>
      </c>
      <c r="BC60" s="371"/>
      <c r="BD60" s="371"/>
      <c r="BE60" s="371"/>
      <c r="BF60" s="371"/>
      <c r="BG60" s="380" t="s">
        <v>1</v>
      </c>
      <c r="BH60" s="371" t="str">
        <f>Import!G21</f>
        <v xml:space="preserve"> </v>
      </c>
      <c r="BI60" s="371"/>
      <c r="BJ60" s="371"/>
      <c r="BK60" s="371"/>
      <c r="BL60" s="371"/>
      <c r="BM60" s="380" t="s">
        <v>1</v>
      </c>
      <c r="BN60" s="371" t="str">
        <f>Import!G22</f>
        <v xml:space="preserve"> </v>
      </c>
      <c r="BO60" s="371"/>
      <c r="BP60" s="371"/>
      <c r="BQ60" s="371"/>
      <c r="BR60" s="371"/>
      <c r="BS60" s="380" t="s">
        <v>1</v>
      </c>
      <c r="BT60" s="371" t="str">
        <f>Import!G23</f>
        <v xml:space="preserve"> </v>
      </c>
      <c r="BU60" s="371"/>
      <c r="BV60" s="371"/>
      <c r="BW60" s="371"/>
      <c r="BX60" s="371"/>
      <c r="BY60" s="380" t="s">
        <v>1</v>
      </c>
      <c r="BZ60" s="371" t="str">
        <f>Import!G24</f>
        <v xml:space="preserve"> </v>
      </c>
      <c r="CA60" s="371"/>
      <c r="CB60" s="371"/>
      <c r="CC60" s="371"/>
      <c r="CD60" s="371"/>
      <c r="CE60" s="380" t="s">
        <v>1</v>
      </c>
      <c r="CF60" s="371" t="str">
        <f>Import!G25</f>
        <v xml:space="preserve"> </v>
      </c>
      <c r="CG60" s="371"/>
      <c r="CH60" s="371"/>
      <c r="CI60" s="371"/>
      <c r="CJ60" s="371"/>
      <c r="CK60" s="380" t="s">
        <v>1</v>
      </c>
      <c r="CL60" s="371" t="str">
        <f>Import!G26</f>
        <v xml:space="preserve"> </v>
      </c>
      <c r="CM60" s="371"/>
      <c r="CN60" s="371"/>
      <c r="CO60" s="372"/>
    </row>
    <row r="61" spans="1:93">
      <c r="S61" s="371"/>
      <c r="Y61" s="340" t="str">
        <f>IF(B29="NO"," ",IF(B25="NO"," ",AFC!P35))</f>
        <v xml:space="preserve"> </v>
      </c>
      <c r="Z61" s="378" t="s">
        <v>53</v>
      </c>
      <c r="AD61" s="371"/>
      <c r="AE61" s="393"/>
      <c r="AF61" s="371"/>
      <c r="AG61" s="371"/>
      <c r="AH61" s="371"/>
      <c r="AI61" s="380"/>
      <c r="AJ61" s="363" t="str">
        <f>IF(AND(Input!D11="3Y",Import!F17=1)," SINGLE PHASE"," ")</f>
        <v xml:space="preserve"> </v>
      </c>
      <c r="AK61" s="371"/>
      <c r="AL61" s="371"/>
      <c r="AM61" s="371"/>
      <c r="AN61" s="371"/>
      <c r="AO61" s="380"/>
      <c r="AP61" s="363" t="str">
        <f>IF(AND(Input!D11="3Y",Import!F18=1)," SINGLE PHASE"," ")</f>
        <v xml:space="preserve"> </v>
      </c>
      <c r="AQ61" s="371"/>
      <c r="AR61" s="371"/>
      <c r="AS61" s="371"/>
      <c r="AT61" s="371"/>
      <c r="AU61" s="380"/>
      <c r="AV61" s="363" t="str">
        <f>IF(AND(Input!D11="3Y",Import!F19=1)," SINGLE PHASE"," ")</f>
        <v xml:space="preserve"> </v>
      </c>
      <c r="AW61" s="371"/>
      <c r="AX61" s="371"/>
      <c r="AY61" s="371"/>
      <c r="AZ61" s="371"/>
      <c r="BA61" s="380"/>
      <c r="BB61" s="363" t="str">
        <f>IF(AND(Input!D11="3Y",Import!F20=1)," SINGLE PHASE"," ")</f>
        <v xml:space="preserve"> </v>
      </c>
      <c r="BC61" s="371"/>
      <c r="BD61" s="371"/>
      <c r="BE61" s="371"/>
      <c r="BF61" s="371"/>
      <c r="BG61" s="380"/>
      <c r="BH61" s="363" t="str">
        <f>IF(AND(Input!D11="3Y",Import!F21=1)," SINGLE PHASE"," ")</f>
        <v xml:space="preserve"> </v>
      </c>
      <c r="BI61" s="371"/>
      <c r="BJ61" s="371"/>
      <c r="BK61" s="371"/>
      <c r="BL61" s="371"/>
      <c r="BM61" s="380"/>
      <c r="BN61" s="363" t="str">
        <f>IF(AND(Input!D11="3Y",Import!F22=1)," SINGLE PHASE"," ")</f>
        <v xml:space="preserve"> </v>
      </c>
      <c r="BO61" s="371"/>
      <c r="BP61" s="371"/>
      <c r="BQ61" s="371"/>
      <c r="BR61" s="371"/>
      <c r="BS61" s="380"/>
      <c r="BT61" s="363" t="str">
        <f>IF(AND(Input!D11="3Y",Import!F23=1)," SINGLE PHASE"," ")</f>
        <v xml:space="preserve"> </v>
      </c>
      <c r="BU61" s="371"/>
      <c r="BV61" s="371"/>
      <c r="BW61" s="371"/>
      <c r="BX61" s="371"/>
      <c r="BY61" s="380"/>
      <c r="BZ61" s="363" t="str">
        <f>IF(AND(Input!D11="3Y",Import!F24=1)," SINGLE PHASE"," ")</f>
        <v xml:space="preserve"> </v>
      </c>
      <c r="CA61" s="371"/>
      <c r="CB61" s="371"/>
      <c r="CC61" s="371"/>
      <c r="CD61" s="371"/>
      <c r="CE61" s="380"/>
      <c r="CF61" s="363" t="str">
        <f>IF(AND(Input!D11="3Y",Import!F25=1)," SINGLE PHASE"," ")</f>
        <v xml:space="preserve"> </v>
      </c>
      <c r="CG61" s="371"/>
      <c r="CH61" s="371"/>
      <c r="CI61" s="371"/>
      <c r="CJ61" s="371"/>
      <c r="CK61" s="380"/>
      <c r="CL61" s="363" t="str">
        <f>IF(AND(Input!D11="3Y",Import!F26=1)," SINGLE PHASE"," ")</f>
        <v xml:space="preserve"> </v>
      </c>
      <c r="CM61" s="371"/>
      <c r="CN61" s="371"/>
      <c r="CO61" s="372"/>
    </row>
    <row r="62" spans="1:93">
      <c r="S62" s="371"/>
      <c r="X62" s="374"/>
      <c r="Y62" s="375"/>
      <c r="Z62" s="375"/>
      <c r="AA62" s="377"/>
      <c r="AD62" s="371"/>
      <c r="AE62" s="393"/>
      <c r="AF62" s="371"/>
      <c r="AG62" s="371"/>
      <c r="AH62" s="371"/>
      <c r="AI62" s="371"/>
      <c r="AJ62" s="363"/>
      <c r="AK62" s="371"/>
      <c r="AL62" s="371"/>
      <c r="AM62" s="371"/>
      <c r="AN62" s="371"/>
      <c r="AO62" s="371"/>
      <c r="AP62" s="363"/>
      <c r="AQ62" s="371"/>
      <c r="AR62" s="371"/>
      <c r="AS62" s="371"/>
      <c r="AT62" s="371"/>
      <c r="AU62" s="371"/>
      <c r="AV62" s="363"/>
      <c r="AW62" s="371"/>
      <c r="AX62" s="371"/>
      <c r="AY62" s="371"/>
      <c r="AZ62" s="371"/>
      <c r="BA62" s="371"/>
      <c r="BB62" s="363"/>
      <c r="BC62" s="371"/>
      <c r="BD62" s="371"/>
      <c r="BE62" s="371"/>
      <c r="BF62" s="371"/>
      <c r="BG62" s="371"/>
      <c r="BH62" s="363"/>
      <c r="BI62" s="371"/>
      <c r="BJ62" s="371"/>
      <c r="BK62" s="371"/>
      <c r="BL62" s="371"/>
      <c r="BM62" s="371"/>
      <c r="BN62" s="363"/>
      <c r="BO62" s="371"/>
      <c r="BP62" s="371"/>
      <c r="BQ62" s="371"/>
      <c r="BR62" s="371"/>
      <c r="BS62" s="371"/>
      <c r="BT62" s="363"/>
      <c r="BU62" s="371"/>
      <c r="BV62" s="371"/>
      <c r="BW62" s="371"/>
      <c r="BX62" s="371"/>
      <c r="BY62" s="371"/>
      <c r="BZ62" s="363"/>
      <c r="CA62" s="371"/>
      <c r="CB62" s="371"/>
      <c r="CC62" s="371"/>
      <c r="CD62" s="371"/>
      <c r="CE62" s="371"/>
      <c r="CF62" s="363"/>
      <c r="CG62" s="371"/>
      <c r="CH62" s="371"/>
      <c r="CI62" s="371"/>
      <c r="CJ62" s="371"/>
      <c r="CK62" s="371"/>
      <c r="CL62" s="363"/>
      <c r="CM62" s="371"/>
      <c r="CN62" s="371"/>
      <c r="CO62" s="372"/>
    </row>
    <row r="63" spans="1:93">
      <c r="S63" s="371"/>
      <c r="X63" s="363" t="str">
        <f>IF(B52="NO"," ",IF(B53="YES"," HOUSE"," "))</f>
        <v xml:space="preserve"> </v>
      </c>
      <c r="Y63" s="371"/>
      <c r="Z63" s="371"/>
      <c r="AA63" s="373"/>
      <c r="AD63" s="371"/>
      <c r="AE63" s="393"/>
      <c r="AF63" s="371"/>
      <c r="AG63" s="388"/>
      <c r="AH63" s="388"/>
      <c r="AI63" s="388"/>
      <c r="AJ63" s="390" t="str">
        <f>IF(B29="NO","",AFC!P36)</f>
        <v xml:space="preserve"> 16.6 K </v>
      </c>
      <c r="AK63" s="388"/>
      <c r="AL63" s="388"/>
      <c r="AM63" s="388"/>
      <c r="AN63" s="388"/>
      <c r="AO63" s="388"/>
      <c r="AP63" s="390" t="str">
        <f>IF(B29="NO","",AFC!P36)</f>
        <v xml:space="preserve"> 16.6 K </v>
      </c>
      <c r="AQ63" s="388"/>
      <c r="AR63" s="388"/>
      <c r="AS63" s="388"/>
      <c r="AT63" s="388"/>
      <c r="AU63" s="388"/>
      <c r="AV63" s="390" t="str">
        <f>IF(B29="NO","",AFC!P36)</f>
        <v xml:space="preserve"> 16.6 K </v>
      </c>
      <c r="AW63" s="388"/>
      <c r="AX63" s="388"/>
      <c r="AY63" s="388"/>
      <c r="AZ63" s="388"/>
      <c r="BA63" s="388"/>
      <c r="BB63" s="390" t="str">
        <f>IF(B29="NO","",AFC!P36)</f>
        <v xml:space="preserve"> 16.6 K </v>
      </c>
      <c r="BC63" s="388"/>
      <c r="BD63" s="388"/>
      <c r="BE63" s="388"/>
      <c r="BF63" s="388"/>
      <c r="BG63" s="388"/>
      <c r="BH63" s="390" t="str">
        <f>IF(B29="NO","",AFC!P36)</f>
        <v xml:space="preserve"> 16.6 K </v>
      </c>
      <c r="BI63" s="388"/>
      <c r="BJ63" s="388"/>
      <c r="BK63" s="388"/>
      <c r="BL63" s="388"/>
      <c r="BM63" s="388"/>
      <c r="BN63" s="390" t="str">
        <f>IF(B29="NO","",AFC!P36)</f>
        <v xml:space="preserve"> 16.6 K </v>
      </c>
      <c r="BO63" s="388"/>
      <c r="BP63" s="388"/>
      <c r="BQ63" s="388"/>
      <c r="BR63" s="388"/>
      <c r="BS63" s="388"/>
      <c r="BT63" s="390" t="str">
        <f>IF(B29="NO","",AFC!P36)</f>
        <v xml:space="preserve"> 16.6 K </v>
      </c>
      <c r="BU63" s="388"/>
      <c r="BV63" s="388"/>
      <c r="BW63" s="388"/>
      <c r="BX63" s="388"/>
      <c r="BY63" s="388"/>
      <c r="BZ63" s="390" t="str">
        <f>IF(B29="NO","",AFC!P36)</f>
        <v xml:space="preserve"> 16.6 K </v>
      </c>
      <c r="CA63" s="388"/>
      <c r="CB63" s="388"/>
      <c r="CC63" s="388"/>
      <c r="CD63" s="388"/>
      <c r="CE63" s="388"/>
      <c r="CF63" s="390" t="str">
        <f>IF(B29="NO","",AFC!P36)</f>
        <v xml:space="preserve"> 16.6 K </v>
      </c>
      <c r="CG63" s="388"/>
      <c r="CH63" s="388"/>
      <c r="CI63" s="388"/>
      <c r="CJ63" s="388"/>
      <c r="CK63" s="388"/>
      <c r="CL63" s="390" t="str">
        <f>IF(B29="NO","",AFC!P36)</f>
        <v xml:space="preserve"> 16.6 K </v>
      </c>
      <c r="CM63" s="388"/>
      <c r="CN63" s="388"/>
      <c r="CO63" s="391"/>
    </row>
    <row r="64" spans="1:93">
      <c r="S64" s="371"/>
      <c r="X64" s="363" t="str">
        <f>IF(B52="NO"," ",IF(B53="YES"," PANEL"," "))</f>
        <v xml:space="preserve"> </v>
      </c>
      <c r="Y64" s="371"/>
      <c r="Z64" s="371"/>
      <c r="AA64" s="373"/>
      <c r="AD64" s="371"/>
      <c r="AE64" s="393"/>
      <c r="AF64" s="396"/>
      <c r="AG64" s="368"/>
      <c r="AJ64" s="363"/>
      <c r="AP64" s="363"/>
      <c r="AV64" s="363"/>
      <c r="BB64" s="363"/>
      <c r="BH64" s="363"/>
      <c r="BN64" s="363"/>
      <c r="BT64" s="363"/>
      <c r="BZ64" s="363"/>
      <c r="CF64" s="363"/>
      <c r="CL64" s="363"/>
    </row>
    <row r="65" spans="19:91">
      <c r="S65" s="371"/>
      <c r="X65" s="363" t="s">
        <v>53</v>
      </c>
      <c r="Y65" s="371"/>
      <c r="Z65" s="371"/>
      <c r="AA65" s="373"/>
      <c r="AD65" s="371"/>
      <c r="AE65" s="393"/>
      <c r="AF65" s="396"/>
      <c r="AG65" s="371"/>
      <c r="AJ65" s="363" t="str">
        <f>Import!BA17</f>
        <v xml:space="preserve">  '</v>
      </c>
      <c r="AP65" s="363" t="str">
        <f>Import!BA18</f>
        <v xml:space="preserve">  '</v>
      </c>
      <c r="AV65" s="363" t="str">
        <f>Import!BA19</f>
        <v xml:space="preserve">  '</v>
      </c>
      <c r="BB65" s="363" t="str">
        <f>Import!BA20</f>
        <v xml:space="preserve">  '</v>
      </c>
      <c r="BH65" s="363" t="str">
        <f>Import!BA21</f>
        <v xml:space="preserve">  '</v>
      </c>
      <c r="BN65" s="363" t="str">
        <f>Import!BA22</f>
        <v xml:space="preserve">  '</v>
      </c>
      <c r="BT65" s="363" t="str">
        <f>Import!BA23</f>
        <v xml:space="preserve">  '</v>
      </c>
      <c r="BZ65" s="363" t="str">
        <f>Import!BA24</f>
        <v xml:space="preserve">  '</v>
      </c>
      <c r="CF65" s="363" t="str">
        <f>Import!BA25</f>
        <v xml:space="preserve">  '</v>
      </c>
      <c r="CL65" s="363" t="str">
        <f>Import!BA26</f>
        <v xml:space="preserve">  '</v>
      </c>
    </row>
    <row r="66" spans="19:91">
      <c r="S66" s="371"/>
      <c r="X66" s="363"/>
      <c r="Y66" s="371"/>
      <c r="Z66" s="371"/>
      <c r="AA66" s="373"/>
      <c r="AD66" s="371"/>
      <c r="AE66" s="393"/>
      <c r="AF66" s="396"/>
      <c r="AG66" s="371"/>
      <c r="AJ66" s="363" t="str">
        <f>Import!J17</f>
        <v xml:space="preserve"> </v>
      </c>
      <c r="AP66" s="363" t="str">
        <f>Import!J18</f>
        <v xml:space="preserve"> </v>
      </c>
      <c r="AV66" s="363" t="str">
        <f>Import!J19</f>
        <v xml:space="preserve"> </v>
      </c>
      <c r="BB66" s="363" t="str">
        <f>Import!J20</f>
        <v xml:space="preserve"> </v>
      </c>
      <c r="BH66" s="363" t="str">
        <f>Import!J21</f>
        <v xml:space="preserve"> </v>
      </c>
      <c r="BN66" s="363" t="str">
        <f>Import!J22</f>
        <v xml:space="preserve"> </v>
      </c>
      <c r="BT66" s="363" t="str">
        <f>Import!J23</f>
        <v xml:space="preserve"> </v>
      </c>
      <c r="BZ66" s="363" t="str">
        <f>Import!J24</f>
        <v xml:space="preserve"> </v>
      </c>
      <c r="CF66" s="363" t="str">
        <f>Import!J25</f>
        <v xml:space="preserve"> </v>
      </c>
      <c r="CL66" s="363" t="str">
        <f>Import!J26</f>
        <v xml:space="preserve"> </v>
      </c>
    </row>
    <row r="67" spans="19:91">
      <c r="S67" s="371"/>
      <c r="X67" s="378"/>
      <c r="Y67" s="381"/>
      <c r="Z67" s="381"/>
      <c r="AA67" s="382"/>
      <c r="AD67" s="371"/>
      <c r="AE67" s="393"/>
      <c r="AF67" s="396"/>
      <c r="AG67" s="371"/>
      <c r="AJ67" s="363" t="str">
        <f>Import!K17</f>
        <v xml:space="preserve"> </v>
      </c>
      <c r="AP67" s="363" t="str">
        <f>Import!K18</f>
        <v xml:space="preserve"> </v>
      </c>
      <c r="AV67" s="363" t="str">
        <f>Import!K19</f>
        <v xml:space="preserve"> </v>
      </c>
      <c r="BB67" s="363" t="str">
        <f>Import!K20</f>
        <v xml:space="preserve"> </v>
      </c>
      <c r="BH67" s="363" t="str">
        <f>Import!K21</f>
        <v xml:space="preserve"> </v>
      </c>
      <c r="BN67" s="363" t="str">
        <f>Import!K22</f>
        <v xml:space="preserve"> </v>
      </c>
      <c r="BT67" s="363" t="str">
        <f>Import!K23</f>
        <v xml:space="preserve"> </v>
      </c>
      <c r="BZ67" s="363" t="str">
        <f>Import!K24</f>
        <v xml:space="preserve"> </v>
      </c>
      <c r="CF67" s="363" t="str">
        <f>Import!K25</f>
        <v xml:space="preserve"> </v>
      </c>
      <c r="CL67" s="363" t="str">
        <f>Import!K26</f>
        <v xml:space="preserve"> </v>
      </c>
    </row>
    <row r="68" spans="19:91">
      <c r="S68" s="371"/>
      <c r="AD68" s="371"/>
      <c r="AE68" s="393"/>
      <c r="AF68" s="396"/>
      <c r="AG68" s="371"/>
      <c r="AJ68" s="363" t="str">
        <f>Import!L17</f>
        <v xml:space="preserve"> </v>
      </c>
      <c r="AP68" s="363" t="str">
        <f>Import!L18</f>
        <v xml:space="preserve"> </v>
      </c>
      <c r="AV68" s="363" t="str">
        <f>Import!L19</f>
        <v xml:space="preserve"> </v>
      </c>
      <c r="BB68" s="363" t="str">
        <f>Import!L20</f>
        <v xml:space="preserve"> </v>
      </c>
      <c r="BH68" s="363" t="str">
        <f>Import!L21</f>
        <v xml:space="preserve"> </v>
      </c>
      <c r="BN68" s="363" t="str">
        <f>Import!L22</f>
        <v xml:space="preserve"> </v>
      </c>
      <c r="BT68" s="363" t="str">
        <f>Import!L23</f>
        <v xml:space="preserve"> </v>
      </c>
      <c r="BZ68" s="363" t="str">
        <f>Import!L24</f>
        <v xml:space="preserve"> </v>
      </c>
      <c r="CF68" s="363" t="str">
        <f>Import!L25</f>
        <v xml:space="preserve"> </v>
      </c>
      <c r="CL68" s="363" t="str">
        <f>Import!L26</f>
        <v xml:space="preserve"> </v>
      </c>
    </row>
    <row r="69" spans="19:91">
      <c r="S69" s="371"/>
      <c r="AD69" s="371"/>
      <c r="AE69" s="393"/>
      <c r="AF69" s="396"/>
      <c r="AG69" s="371"/>
      <c r="AJ69" s="363" t="str">
        <f>Import!M17</f>
        <v xml:space="preserve"> </v>
      </c>
      <c r="AP69" s="363" t="str">
        <f>Import!M18</f>
        <v xml:space="preserve"> </v>
      </c>
      <c r="AV69" s="363" t="str">
        <f>Import!M19</f>
        <v xml:space="preserve"> </v>
      </c>
      <c r="BB69" s="363" t="str">
        <f>Import!M20</f>
        <v xml:space="preserve"> </v>
      </c>
      <c r="BH69" s="363" t="str">
        <f>Import!M21</f>
        <v xml:space="preserve"> </v>
      </c>
      <c r="BN69" s="363" t="str">
        <f>Import!M22</f>
        <v xml:space="preserve"> </v>
      </c>
      <c r="BT69" s="363" t="str">
        <f>Import!M23</f>
        <v xml:space="preserve"> </v>
      </c>
      <c r="BZ69" s="363" t="str">
        <f>Import!M24</f>
        <v xml:space="preserve"> </v>
      </c>
      <c r="CF69" s="363" t="str">
        <f>Import!M25</f>
        <v xml:space="preserve"> </v>
      </c>
      <c r="CL69" s="363" t="str">
        <f>Import!M26</f>
        <v xml:space="preserve"> </v>
      </c>
    </row>
    <row r="70" spans="19:91">
      <c r="S70" s="371"/>
      <c r="AD70" s="371"/>
      <c r="AE70" s="393"/>
      <c r="AF70" s="396"/>
      <c r="AG70" s="371"/>
      <c r="AJ70" s="363" t="str">
        <f>Import!N17</f>
        <v xml:space="preserve"> </v>
      </c>
      <c r="AP70" s="363" t="str">
        <f>Import!N18</f>
        <v xml:space="preserve"> </v>
      </c>
      <c r="AV70" s="363" t="str">
        <f>Import!N19</f>
        <v xml:space="preserve"> </v>
      </c>
      <c r="BB70" s="363" t="str">
        <f>Import!N20</f>
        <v xml:space="preserve"> </v>
      </c>
      <c r="BH70" s="363" t="str">
        <f>Import!N21</f>
        <v xml:space="preserve"> </v>
      </c>
      <c r="BN70" s="363" t="str">
        <f>Import!N22</f>
        <v xml:space="preserve"> </v>
      </c>
      <c r="BT70" s="363" t="str">
        <f>Import!N23</f>
        <v xml:space="preserve"> </v>
      </c>
      <c r="BZ70" s="363" t="str">
        <f>Import!N24</f>
        <v xml:space="preserve"> </v>
      </c>
      <c r="CF70" s="363" t="str">
        <f>Import!N25</f>
        <v xml:space="preserve"> </v>
      </c>
      <c r="CL70" s="363" t="str">
        <f>Import!N26</f>
        <v xml:space="preserve"> </v>
      </c>
    </row>
    <row r="71" spans="19:91">
      <c r="S71" s="371"/>
      <c r="AD71" s="371"/>
      <c r="AE71" s="393"/>
      <c r="AF71" s="396"/>
      <c r="AG71" s="371"/>
      <c r="AJ71" s="363"/>
      <c r="AP71" s="363"/>
      <c r="AV71" s="363"/>
      <c r="BB71" s="363"/>
      <c r="BH71" s="363"/>
      <c r="BN71" s="363"/>
      <c r="BT71" s="363"/>
      <c r="BZ71" s="363"/>
      <c r="CF71" s="363"/>
      <c r="CL71" s="363"/>
    </row>
    <row r="72" spans="19:91">
      <c r="S72" s="371"/>
      <c r="AE72" s="393"/>
      <c r="AF72" s="396"/>
      <c r="AG72" s="371"/>
      <c r="AI72" s="340" t="str">
        <f>IF(B29="NO"," ",AFC!P14)</f>
        <v/>
      </c>
      <c r="AJ72" s="363" t="str">
        <f>IF(B30="NO"," ",Import!O17)</f>
        <v xml:space="preserve"> </v>
      </c>
      <c r="AO72" s="340" t="str">
        <f>IF(B29="NO"," ",AFC!P15)</f>
        <v/>
      </c>
      <c r="AP72" s="363" t="str">
        <f>IF(B30="NO"," ",Import!O18)</f>
        <v xml:space="preserve"> </v>
      </c>
      <c r="AU72" s="340" t="str">
        <f>IF(B29="NO"," ",AFC!P16)</f>
        <v/>
      </c>
      <c r="AV72" s="363" t="str">
        <f>IF(B30="NO"," ",Import!O19)</f>
        <v xml:space="preserve"> </v>
      </c>
      <c r="BA72" s="340" t="str">
        <f>IF(B29="NO"," ",AFC!P17)</f>
        <v/>
      </c>
      <c r="BB72" s="363" t="str">
        <f>IF(B30="NO"," ",Import!O20)</f>
        <v xml:space="preserve"> </v>
      </c>
      <c r="BG72" s="340" t="str">
        <f>IF(B29="NO"," ",AFC!P18)</f>
        <v/>
      </c>
      <c r="BH72" s="363" t="str">
        <f>IF(B30="NO"," ",Import!O21)</f>
        <v xml:space="preserve"> </v>
      </c>
      <c r="BM72" s="340" t="str">
        <f>IF(B29="NO"," ",AFC!P19)</f>
        <v/>
      </c>
      <c r="BN72" s="363" t="str">
        <f>IF(B30="NO"," ",Import!O22)</f>
        <v xml:space="preserve"> </v>
      </c>
      <c r="BS72" s="340" t="str">
        <f>IF(B29="NO"," ",AFC!P20)</f>
        <v/>
      </c>
      <c r="BT72" s="363" t="str">
        <f>IF(B30="NO"," ",Import!O23)</f>
        <v xml:space="preserve"> </v>
      </c>
      <c r="BY72" s="340" t="str">
        <f>IF(B29="NO"," ",AFC!P21)</f>
        <v/>
      </c>
      <c r="BZ72" s="363" t="str">
        <f>IF(B30="NO"," ",Import!O24)</f>
        <v xml:space="preserve"> </v>
      </c>
      <c r="CE72" s="340" t="str">
        <f>IF(B29="NO"," ",AFC!P22)</f>
        <v/>
      </c>
      <c r="CF72" s="363" t="str">
        <f>IF(B30="NO"," ",Import!O25)</f>
        <v xml:space="preserve"> </v>
      </c>
      <c r="CK72" s="340" t="str">
        <f>IF(B29="NO"," ",AFC!P23)</f>
        <v/>
      </c>
      <c r="CL72" s="363" t="str">
        <f>IF(B30="NO"," ",Import!O26)</f>
        <v xml:space="preserve"> </v>
      </c>
    </row>
    <row r="73" spans="19:91">
      <c r="S73" s="371"/>
      <c r="AE73" s="393"/>
      <c r="AF73" s="396"/>
      <c r="AG73" s="371"/>
      <c r="AH73" s="374"/>
      <c r="AI73" s="375"/>
      <c r="AJ73" s="375"/>
      <c r="AK73" s="377"/>
      <c r="AN73" s="374"/>
      <c r="AO73" s="375"/>
      <c r="AP73" s="375"/>
      <c r="AQ73" s="377"/>
      <c r="AT73" s="374"/>
      <c r="AU73" s="375"/>
      <c r="AV73" s="375"/>
      <c r="AW73" s="377"/>
      <c r="AZ73" s="374"/>
      <c r="BA73" s="375"/>
      <c r="BB73" s="375"/>
      <c r="BC73" s="377"/>
      <c r="BF73" s="374"/>
      <c r="BG73" s="375"/>
      <c r="BH73" s="375"/>
      <c r="BI73" s="377"/>
      <c r="BL73" s="374"/>
      <c r="BM73" s="375"/>
      <c r="BN73" s="375"/>
      <c r="BO73" s="377"/>
      <c r="BR73" s="374"/>
      <c r="BS73" s="375"/>
      <c r="BT73" s="375"/>
      <c r="BU73" s="377"/>
      <c r="BX73" s="374"/>
      <c r="BY73" s="375"/>
      <c r="BZ73" s="375"/>
      <c r="CA73" s="377"/>
      <c r="CD73" s="374"/>
      <c r="CE73" s="375"/>
      <c r="CF73" s="375"/>
      <c r="CG73" s="377"/>
      <c r="CJ73" s="374"/>
      <c r="CK73" s="375"/>
      <c r="CL73" s="375"/>
      <c r="CM73" s="377"/>
    </row>
    <row r="74" spans="19:91">
      <c r="S74" s="371"/>
      <c r="AE74" s="393"/>
      <c r="AF74" s="396"/>
      <c r="AG74" s="371"/>
      <c r="AH74" s="363" t="s">
        <v>7</v>
      </c>
      <c r="AI74" s="371"/>
      <c r="AJ74" s="371"/>
      <c r="AK74" s="373"/>
      <c r="AN74" s="363" t="s">
        <v>7</v>
      </c>
      <c r="AO74" s="371"/>
      <c r="AP74" s="371"/>
      <c r="AQ74" s="373"/>
      <c r="AT74" s="363" t="s">
        <v>7</v>
      </c>
      <c r="AU74" s="371"/>
      <c r="AV74" s="371"/>
      <c r="AW74" s="373"/>
      <c r="AZ74" s="363" t="s">
        <v>7</v>
      </c>
      <c r="BA74" s="371"/>
      <c r="BB74" s="371"/>
      <c r="BC74" s="373"/>
      <c r="BF74" s="363" t="s">
        <v>7</v>
      </c>
      <c r="BG74" s="371"/>
      <c r="BH74" s="371"/>
      <c r="BI74" s="373"/>
      <c r="BL74" s="363" t="s">
        <v>7</v>
      </c>
      <c r="BM74" s="371"/>
      <c r="BN74" s="371"/>
      <c r="BO74" s="373"/>
      <c r="BR74" s="363" t="s">
        <v>7</v>
      </c>
      <c r="BS74" s="371"/>
      <c r="BT74" s="371"/>
      <c r="BU74" s="373"/>
      <c r="BX74" s="363" t="s">
        <v>7</v>
      </c>
      <c r="BY74" s="371"/>
      <c r="BZ74" s="371"/>
      <c r="CA74" s="373"/>
      <c r="CD74" s="363" t="s">
        <v>7</v>
      </c>
      <c r="CE74" s="371"/>
      <c r="CF74" s="371"/>
      <c r="CG74" s="373"/>
      <c r="CJ74" s="363" t="s">
        <v>7</v>
      </c>
      <c r="CK74" s="371"/>
      <c r="CL74" s="371"/>
      <c r="CM74" s="373"/>
    </row>
    <row r="75" spans="19:91">
      <c r="S75" s="371"/>
      <c r="AE75" s="393"/>
      <c r="AF75" s="396"/>
      <c r="AG75" s="371"/>
      <c r="AH75" s="363" t="s">
        <v>8</v>
      </c>
      <c r="AI75" s="371"/>
      <c r="AJ75" s="371"/>
      <c r="AK75" s="373"/>
      <c r="AN75" s="363" t="s">
        <v>8</v>
      </c>
      <c r="AO75" s="371"/>
      <c r="AP75" s="371"/>
      <c r="AQ75" s="373"/>
      <c r="AT75" s="363" t="s">
        <v>8</v>
      </c>
      <c r="AU75" s="371"/>
      <c r="AV75" s="371"/>
      <c r="AW75" s="373"/>
      <c r="AZ75" s="363" t="s">
        <v>8</v>
      </c>
      <c r="BA75" s="371"/>
      <c r="BB75" s="371"/>
      <c r="BC75" s="373"/>
      <c r="BF75" s="363" t="s">
        <v>8</v>
      </c>
      <c r="BG75" s="371"/>
      <c r="BH75" s="371"/>
      <c r="BI75" s="373"/>
      <c r="BL75" s="363" t="s">
        <v>8</v>
      </c>
      <c r="BM75" s="371"/>
      <c r="BN75" s="371"/>
      <c r="BO75" s="373"/>
      <c r="BR75" s="363" t="s">
        <v>8</v>
      </c>
      <c r="BS75" s="371"/>
      <c r="BT75" s="371"/>
      <c r="BU75" s="373"/>
      <c r="BX75" s="363" t="s">
        <v>8</v>
      </c>
      <c r="BY75" s="371"/>
      <c r="BZ75" s="371"/>
      <c r="CA75" s="373"/>
      <c r="CD75" s="363" t="s">
        <v>8</v>
      </c>
      <c r="CE75" s="371"/>
      <c r="CF75" s="371"/>
      <c r="CG75" s="373"/>
      <c r="CJ75" s="363" t="s">
        <v>8</v>
      </c>
      <c r="CK75" s="371"/>
      <c r="CL75" s="371"/>
      <c r="CM75" s="373"/>
    </row>
    <row r="76" spans="19:91">
      <c r="S76" s="371"/>
      <c r="AE76" s="393"/>
      <c r="AF76" s="396"/>
      <c r="AG76" s="371"/>
      <c r="AH76" s="363" t="s">
        <v>9</v>
      </c>
      <c r="AI76" s="371"/>
      <c r="AJ76" s="371"/>
      <c r="AK76" s="373"/>
      <c r="AN76" s="363" t="s">
        <v>9</v>
      </c>
      <c r="AO76" s="371"/>
      <c r="AP76" s="371"/>
      <c r="AQ76" s="373"/>
      <c r="AT76" s="363" t="s">
        <v>9</v>
      </c>
      <c r="AU76" s="371"/>
      <c r="AV76" s="371"/>
      <c r="AW76" s="373"/>
      <c r="AZ76" s="363" t="s">
        <v>9</v>
      </c>
      <c r="BA76" s="371"/>
      <c r="BB76" s="371"/>
      <c r="BC76" s="373"/>
      <c r="BF76" s="363" t="s">
        <v>9</v>
      </c>
      <c r="BG76" s="371"/>
      <c r="BH76" s="371"/>
      <c r="BI76" s="373"/>
      <c r="BL76" s="363" t="s">
        <v>9</v>
      </c>
      <c r="BM76" s="371"/>
      <c r="BN76" s="371"/>
      <c r="BO76" s="373"/>
      <c r="BR76" s="363" t="s">
        <v>9</v>
      </c>
      <c r="BS76" s="371"/>
      <c r="BT76" s="371"/>
      <c r="BU76" s="373"/>
      <c r="BX76" s="363" t="s">
        <v>9</v>
      </c>
      <c r="BY76" s="371"/>
      <c r="BZ76" s="371"/>
      <c r="CA76" s="373"/>
      <c r="CD76" s="363" t="s">
        <v>9</v>
      </c>
      <c r="CE76" s="371"/>
      <c r="CF76" s="371"/>
      <c r="CG76" s="373"/>
      <c r="CJ76" s="363" t="s">
        <v>9</v>
      </c>
      <c r="CK76" s="371"/>
      <c r="CL76" s="371"/>
      <c r="CM76" s="373"/>
    </row>
    <row r="77" spans="19:91">
      <c r="S77" s="371"/>
      <c r="AE77" s="393"/>
      <c r="AF77" s="396"/>
      <c r="AG77" s="371"/>
      <c r="AH77" s="363" t="str">
        <f>Import!E17</f>
        <v xml:space="preserve"> </v>
      </c>
      <c r="AI77" s="371"/>
      <c r="AJ77" s="371"/>
      <c r="AK77" s="373"/>
      <c r="AN77" s="363" t="str">
        <f>Import!E18</f>
        <v xml:space="preserve"> </v>
      </c>
      <c r="AO77" s="371"/>
      <c r="AP77" s="371"/>
      <c r="AQ77" s="373"/>
      <c r="AT77" s="363" t="str">
        <f>Import!E19</f>
        <v xml:space="preserve"> </v>
      </c>
      <c r="AU77" s="371"/>
      <c r="AV77" s="371"/>
      <c r="AW77" s="373"/>
      <c r="AZ77" s="363" t="str">
        <f>Import!E20</f>
        <v xml:space="preserve"> </v>
      </c>
      <c r="BA77" s="371"/>
      <c r="BB77" s="371"/>
      <c r="BC77" s="373"/>
      <c r="BF77" s="363" t="str">
        <f>Import!E21</f>
        <v xml:space="preserve"> </v>
      </c>
      <c r="BG77" s="371"/>
      <c r="BH77" s="371"/>
      <c r="BI77" s="373"/>
      <c r="BL77" s="363" t="str">
        <f>Import!E22</f>
        <v xml:space="preserve"> </v>
      </c>
      <c r="BM77" s="371"/>
      <c r="BN77" s="371"/>
      <c r="BO77" s="373"/>
      <c r="BR77" s="363" t="str">
        <f>Import!E23</f>
        <v xml:space="preserve"> </v>
      </c>
      <c r="BS77" s="371"/>
      <c r="BT77" s="371"/>
      <c r="BU77" s="373"/>
      <c r="BX77" s="363" t="str">
        <f>Import!E24</f>
        <v xml:space="preserve"> </v>
      </c>
      <c r="BY77" s="371"/>
      <c r="BZ77" s="371"/>
      <c r="CA77" s="373"/>
      <c r="CD77" s="363" t="str">
        <f>Import!E25</f>
        <v xml:space="preserve"> </v>
      </c>
      <c r="CE77" s="371"/>
      <c r="CF77" s="371"/>
      <c r="CG77" s="373"/>
      <c r="CJ77" s="363" t="str">
        <f>Import!E26</f>
        <v xml:space="preserve"> </v>
      </c>
      <c r="CK77" s="371"/>
      <c r="CL77" s="371"/>
      <c r="CM77" s="373"/>
    </row>
    <row r="78" spans="19:91">
      <c r="S78" s="371"/>
      <c r="AE78" s="393"/>
      <c r="AF78" s="396"/>
      <c r="AG78" s="371"/>
      <c r="AH78" s="378"/>
      <c r="AI78" s="381"/>
      <c r="AJ78" s="381"/>
      <c r="AK78" s="382"/>
      <c r="AN78" s="378"/>
      <c r="AO78" s="381"/>
      <c r="AP78" s="381"/>
      <c r="AQ78" s="382"/>
      <c r="AT78" s="378"/>
      <c r="AU78" s="381"/>
      <c r="AV78" s="381"/>
      <c r="AW78" s="382"/>
      <c r="AZ78" s="378"/>
      <c r="BA78" s="381"/>
      <c r="BB78" s="381"/>
      <c r="BC78" s="382"/>
      <c r="BF78" s="378"/>
      <c r="BG78" s="381"/>
      <c r="BH78" s="381"/>
      <c r="BI78" s="382"/>
      <c r="BL78" s="378"/>
      <c r="BM78" s="381"/>
      <c r="BN78" s="381"/>
      <c r="BO78" s="382"/>
      <c r="BR78" s="378"/>
      <c r="BS78" s="381"/>
      <c r="BT78" s="381"/>
      <c r="BU78" s="382"/>
      <c r="BX78" s="378"/>
      <c r="BY78" s="381"/>
      <c r="BZ78" s="381"/>
      <c r="CA78" s="382"/>
      <c r="CD78" s="378"/>
      <c r="CE78" s="381"/>
      <c r="CF78" s="381"/>
      <c r="CG78" s="382"/>
      <c r="CJ78" s="378"/>
      <c r="CK78" s="381"/>
      <c r="CL78" s="381"/>
      <c r="CM78" s="382"/>
    </row>
    <row r="79" spans="19:91">
      <c r="S79" s="371"/>
      <c r="AE79" s="393"/>
      <c r="AF79" s="396"/>
      <c r="AG79" s="371"/>
    </row>
    <row r="80" spans="19:91">
      <c r="S80" s="371"/>
      <c r="AE80" s="393"/>
      <c r="AF80" s="396"/>
      <c r="AG80" s="371"/>
    </row>
    <row r="81" spans="19:93">
      <c r="S81" s="371"/>
      <c r="AE81" s="393"/>
      <c r="AF81" s="396"/>
      <c r="AG81" s="370"/>
    </row>
    <row r="82" spans="19:93">
      <c r="S82" s="371"/>
      <c r="AE82" s="393"/>
      <c r="AF82" s="371"/>
      <c r="AG82" s="397"/>
      <c r="AH82" s="368"/>
      <c r="AI82" s="368"/>
      <c r="AJ82" s="368"/>
      <c r="AK82" s="368"/>
      <c r="AL82" s="368"/>
      <c r="AM82" s="368"/>
      <c r="AN82" s="368"/>
      <c r="AO82" s="368"/>
      <c r="AP82" s="368"/>
      <c r="AQ82" s="368"/>
      <c r="AR82" s="368"/>
      <c r="AS82" s="368"/>
      <c r="AT82" s="368"/>
      <c r="AU82" s="368"/>
      <c r="AV82" s="368"/>
      <c r="AW82" s="368"/>
      <c r="AX82" s="368"/>
      <c r="AY82" s="368"/>
      <c r="AZ82" s="368"/>
      <c r="BA82" s="368"/>
      <c r="BB82" s="368"/>
      <c r="BC82" s="368"/>
      <c r="BD82" s="368"/>
      <c r="BE82" s="368"/>
      <c r="BF82" s="368"/>
      <c r="BG82" s="368"/>
      <c r="BH82" s="368"/>
      <c r="BI82" s="368"/>
      <c r="BJ82" s="368"/>
      <c r="BK82" s="368"/>
      <c r="BL82" s="368"/>
      <c r="BM82" s="368"/>
      <c r="BN82" s="368"/>
      <c r="BO82" s="368"/>
      <c r="BP82" s="368"/>
      <c r="BQ82" s="368"/>
      <c r="BR82" s="368"/>
      <c r="BS82" s="368"/>
      <c r="BT82" s="368"/>
      <c r="BU82" s="368"/>
      <c r="BV82" s="368"/>
      <c r="BW82" s="368"/>
      <c r="BX82" s="368"/>
      <c r="BY82" s="368"/>
      <c r="BZ82" s="368"/>
      <c r="CA82" s="368"/>
      <c r="CB82" s="368"/>
      <c r="CC82" s="368"/>
      <c r="CD82" s="368"/>
      <c r="CE82" s="368"/>
      <c r="CF82" s="368"/>
      <c r="CG82" s="368"/>
      <c r="CH82" s="368"/>
      <c r="CI82" s="368"/>
      <c r="CJ82" s="368"/>
      <c r="CK82" s="368"/>
      <c r="CL82" s="368"/>
      <c r="CM82" s="368"/>
      <c r="CN82" s="368"/>
      <c r="CO82" s="369"/>
    </row>
    <row r="83" spans="19:93">
      <c r="S83" s="371"/>
      <c r="AE83" s="370"/>
      <c r="AF83" s="375"/>
      <c r="AG83" s="375"/>
      <c r="AH83" s="375"/>
      <c r="AI83" s="375"/>
      <c r="AJ83" s="376"/>
      <c r="AK83" s="375"/>
      <c r="AL83" s="375"/>
      <c r="AM83" s="375"/>
      <c r="AN83" s="375"/>
      <c r="AO83" s="375"/>
      <c r="AP83" s="376"/>
      <c r="AQ83" s="375"/>
      <c r="AR83" s="375"/>
      <c r="AS83" s="375"/>
      <c r="AT83" s="375"/>
      <c r="AU83" s="375"/>
      <c r="AV83" s="376"/>
      <c r="AW83" s="375"/>
      <c r="AX83" s="375"/>
      <c r="AY83" s="375"/>
      <c r="AZ83" s="375"/>
      <c r="BA83" s="375"/>
      <c r="BB83" s="376"/>
      <c r="BC83" s="375"/>
      <c r="BD83" s="375"/>
      <c r="BE83" s="375"/>
      <c r="BF83" s="375"/>
      <c r="BG83" s="375"/>
      <c r="BH83" s="376"/>
      <c r="BI83" s="375"/>
      <c r="BJ83" s="375"/>
      <c r="BK83" s="375"/>
      <c r="BL83" s="375"/>
      <c r="BM83" s="375"/>
      <c r="BN83" s="376"/>
      <c r="BO83" s="375"/>
      <c r="BP83" s="375"/>
      <c r="BQ83" s="375"/>
      <c r="BR83" s="375"/>
      <c r="BS83" s="375"/>
      <c r="BT83" s="376"/>
      <c r="BU83" s="375"/>
      <c r="BV83" s="375"/>
      <c r="BW83" s="375"/>
      <c r="BX83" s="375"/>
      <c r="BY83" s="375"/>
      <c r="BZ83" s="376"/>
      <c r="CA83" s="375"/>
      <c r="CB83" s="375"/>
      <c r="CC83" s="375"/>
      <c r="CD83" s="375"/>
      <c r="CE83" s="375"/>
      <c r="CF83" s="376"/>
      <c r="CG83" s="375"/>
      <c r="CH83" s="375"/>
      <c r="CI83" s="375"/>
      <c r="CJ83" s="375"/>
      <c r="CK83" s="375"/>
      <c r="CL83" s="378"/>
      <c r="CM83" s="371"/>
      <c r="CN83" s="371"/>
      <c r="CO83" s="372"/>
    </row>
    <row r="84" spans="19:93">
      <c r="S84" s="371"/>
      <c r="AE84" s="370"/>
      <c r="AF84" s="371"/>
      <c r="AG84" s="371"/>
      <c r="AH84" s="374"/>
      <c r="AI84" s="375" t="s">
        <v>20</v>
      </c>
      <c r="AJ84" s="375"/>
      <c r="AK84" s="377"/>
      <c r="AL84" s="371"/>
      <c r="AM84" s="371"/>
      <c r="AN84" s="374"/>
      <c r="AO84" s="375" t="s">
        <v>21</v>
      </c>
      <c r="AP84" s="375"/>
      <c r="AQ84" s="377"/>
      <c r="AR84" s="371"/>
      <c r="AS84" s="371"/>
      <c r="AT84" s="374"/>
      <c r="AU84" s="375" t="s">
        <v>22</v>
      </c>
      <c r="AV84" s="375"/>
      <c r="AW84" s="377"/>
      <c r="AX84" s="371"/>
      <c r="AY84" s="371"/>
      <c r="AZ84" s="374"/>
      <c r="BA84" s="375" t="s">
        <v>23</v>
      </c>
      <c r="BB84" s="375"/>
      <c r="BC84" s="377"/>
      <c r="BD84" s="371"/>
      <c r="BE84" s="371"/>
      <c r="BF84" s="374"/>
      <c r="BG84" s="375" t="s">
        <v>24</v>
      </c>
      <c r="BH84" s="375"/>
      <c r="BI84" s="377"/>
      <c r="BJ84" s="371"/>
      <c r="BK84" s="371"/>
      <c r="BL84" s="374"/>
      <c r="BM84" s="375" t="s">
        <v>25</v>
      </c>
      <c r="BN84" s="375"/>
      <c r="BO84" s="377"/>
      <c r="BP84" s="371"/>
      <c r="BQ84" s="371"/>
      <c r="BR84" s="374"/>
      <c r="BS84" s="375" t="s">
        <v>26</v>
      </c>
      <c r="BT84" s="375"/>
      <c r="BU84" s="377"/>
      <c r="BV84" s="371"/>
      <c r="BW84" s="371"/>
      <c r="BX84" s="374"/>
      <c r="BY84" s="375" t="s">
        <v>27</v>
      </c>
      <c r="BZ84" s="375"/>
      <c r="CA84" s="377"/>
      <c r="CB84" s="371"/>
      <c r="CC84" s="371"/>
      <c r="CD84" s="374"/>
      <c r="CE84" s="375" t="s">
        <v>28</v>
      </c>
      <c r="CF84" s="375"/>
      <c r="CG84" s="377"/>
      <c r="CH84" s="371"/>
      <c r="CI84" s="371"/>
      <c r="CJ84" s="374"/>
      <c r="CK84" s="375" t="s">
        <v>29</v>
      </c>
      <c r="CL84" s="375"/>
      <c r="CM84" s="377"/>
      <c r="CN84" s="371"/>
      <c r="CO84" s="372"/>
    </row>
    <row r="85" spans="19:93">
      <c r="S85" s="371"/>
      <c r="AE85" s="370"/>
      <c r="AF85" s="371"/>
      <c r="AG85" s="371"/>
      <c r="AH85" s="378"/>
      <c r="AI85" s="381" t="s">
        <v>0</v>
      </c>
      <c r="AJ85" s="381"/>
      <c r="AK85" s="382"/>
      <c r="AL85" s="371"/>
      <c r="AM85" s="371"/>
      <c r="AN85" s="378"/>
      <c r="AO85" s="381" t="s">
        <v>0</v>
      </c>
      <c r="AP85" s="381"/>
      <c r="AQ85" s="382"/>
      <c r="AR85" s="371"/>
      <c r="AS85" s="371"/>
      <c r="AT85" s="378"/>
      <c r="AU85" s="381" t="s">
        <v>0</v>
      </c>
      <c r="AV85" s="381"/>
      <c r="AW85" s="382"/>
      <c r="AX85" s="371"/>
      <c r="AY85" s="371"/>
      <c r="AZ85" s="378"/>
      <c r="BA85" s="381" t="s">
        <v>0</v>
      </c>
      <c r="BB85" s="381"/>
      <c r="BC85" s="382"/>
      <c r="BD85" s="371"/>
      <c r="BE85" s="371"/>
      <c r="BF85" s="378"/>
      <c r="BG85" s="381" t="s">
        <v>0</v>
      </c>
      <c r="BH85" s="381"/>
      <c r="BI85" s="382"/>
      <c r="BJ85" s="371"/>
      <c r="BK85" s="371"/>
      <c r="BL85" s="378"/>
      <c r="BM85" s="381" t="s">
        <v>0</v>
      </c>
      <c r="BN85" s="381"/>
      <c r="BO85" s="382"/>
      <c r="BP85" s="371"/>
      <c r="BQ85" s="371"/>
      <c r="BR85" s="378"/>
      <c r="BS85" s="381" t="s">
        <v>0</v>
      </c>
      <c r="BT85" s="381"/>
      <c r="BU85" s="382"/>
      <c r="BV85" s="371"/>
      <c r="BW85" s="371"/>
      <c r="BX85" s="378"/>
      <c r="BY85" s="381" t="s">
        <v>0</v>
      </c>
      <c r="BZ85" s="381"/>
      <c r="CA85" s="382"/>
      <c r="CB85" s="371"/>
      <c r="CC85" s="371"/>
      <c r="CD85" s="378"/>
      <c r="CE85" s="381" t="s">
        <v>0</v>
      </c>
      <c r="CF85" s="381"/>
      <c r="CG85" s="382"/>
      <c r="CH85" s="371"/>
      <c r="CI85" s="371"/>
      <c r="CJ85" s="378"/>
      <c r="CK85" s="381" t="s">
        <v>0</v>
      </c>
      <c r="CL85" s="381"/>
      <c r="CM85" s="382"/>
      <c r="CN85" s="371"/>
      <c r="CO85" s="372"/>
    </row>
    <row r="86" spans="19:93">
      <c r="S86" s="371"/>
      <c r="AE86" s="370"/>
      <c r="AF86" s="371"/>
      <c r="AG86" s="371"/>
      <c r="AH86" s="371"/>
      <c r="AI86" s="371"/>
      <c r="AJ86" s="374" t="str">
        <f>IF(AJ88=" SINGLE PHASE"," ( L1 &amp; L3 )","")</f>
        <v/>
      </c>
      <c r="AK86" s="371"/>
      <c r="AL86" s="371"/>
      <c r="AM86" s="371"/>
      <c r="AN86" s="371"/>
      <c r="AO86" s="371"/>
      <c r="AP86" s="374" t="str">
        <f>IF(AP88=" SINGLE PHASE"," ( L1 &amp; L2 )","")</f>
        <v/>
      </c>
      <c r="AQ86" s="371"/>
      <c r="AR86" s="371"/>
      <c r="AS86" s="371"/>
      <c r="AT86" s="371"/>
      <c r="AU86" s="371"/>
      <c r="AV86" s="374" t="str">
        <f>IF(AV88=" SINGLE PHASE"," ( L2 &amp; L3 )","")</f>
        <v/>
      </c>
      <c r="AW86" s="371"/>
      <c r="AX86" s="371"/>
      <c r="AY86" s="371"/>
      <c r="AZ86" s="371"/>
      <c r="BA86" s="371"/>
      <c r="BB86" s="374" t="str">
        <f>IF(BB88=" SINGLE PHASE"," ( L1 &amp; L3 )","")</f>
        <v/>
      </c>
      <c r="BC86" s="371"/>
      <c r="BD86" s="371"/>
      <c r="BE86" s="371"/>
      <c r="BF86" s="371"/>
      <c r="BG86" s="371"/>
      <c r="BH86" s="374" t="str">
        <f>IF(BH88=" SINGLE PHASE"," ( L1 &amp; L2 )","")</f>
        <v/>
      </c>
      <c r="BI86" s="371"/>
      <c r="BJ86" s="371"/>
      <c r="BK86" s="371"/>
      <c r="BL86" s="371"/>
      <c r="BM86" s="371"/>
      <c r="BN86" s="374" t="str">
        <f>IF(BN88=" SINGLE PHASE"," ( L2 &amp; L3 )","")</f>
        <v/>
      </c>
      <c r="BO86" s="371"/>
      <c r="BP86" s="371"/>
      <c r="BQ86" s="371"/>
      <c r="BR86" s="371"/>
      <c r="BS86" s="371"/>
      <c r="BT86" s="374" t="str">
        <f>IF(BT88=" SINGLE PHASE"," ( L1 &amp; L3 )","")</f>
        <v/>
      </c>
      <c r="BU86" s="371"/>
      <c r="BV86" s="371"/>
      <c r="BW86" s="371"/>
      <c r="BX86" s="371"/>
      <c r="BY86" s="371"/>
      <c r="BZ86" s="374" t="str">
        <f>IF(BZ88=" SINGLE PHASE"," ( L1 &amp; L2 )","")</f>
        <v/>
      </c>
      <c r="CA86" s="371"/>
      <c r="CB86" s="371"/>
      <c r="CC86" s="371"/>
      <c r="CD86" s="371"/>
      <c r="CE86" s="371"/>
      <c r="CF86" s="374" t="str">
        <f>IF(CF88=" SINGLE PHASE"," ( L2 &amp; L3 )","")</f>
        <v/>
      </c>
      <c r="CG86" s="371"/>
      <c r="CH86" s="371"/>
      <c r="CI86" s="371"/>
      <c r="CJ86" s="371"/>
      <c r="CK86" s="371"/>
      <c r="CL86" s="374" t="str">
        <f>IF(CL88=" SINGLE PHASE"," ( L1 &amp; L3 )","")</f>
        <v/>
      </c>
      <c r="CM86" s="371"/>
      <c r="CN86" s="371"/>
      <c r="CO86" s="372"/>
    </row>
    <row r="87" spans="19:93">
      <c r="S87" s="371"/>
      <c r="AE87" s="370"/>
      <c r="AF87" s="371"/>
      <c r="AG87" s="371"/>
      <c r="AH87" s="371"/>
      <c r="AI87" s="380" t="s">
        <v>1</v>
      </c>
      <c r="AJ87" s="371" t="str">
        <f>Import!G27</f>
        <v xml:space="preserve"> </v>
      </c>
      <c r="AK87" s="371"/>
      <c r="AL87" s="371"/>
      <c r="AM87" s="371"/>
      <c r="AN87" s="371"/>
      <c r="AO87" s="380" t="s">
        <v>1</v>
      </c>
      <c r="AP87" s="371" t="str">
        <f>Import!G28</f>
        <v xml:space="preserve"> </v>
      </c>
      <c r="AQ87" s="371"/>
      <c r="AR87" s="371"/>
      <c r="AS87" s="371"/>
      <c r="AT87" s="371"/>
      <c r="AU87" s="380" t="s">
        <v>1</v>
      </c>
      <c r="AV87" s="371" t="str">
        <f>Import!G29</f>
        <v xml:space="preserve"> </v>
      </c>
      <c r="AW87" s="371"/>
      <c r="AX87" s="371"/>
      <c r="AY87" s="371"/>
      <c r="AZ87" s="371"/>
      <c r="BA87" s="380" t="s">
        <v>1</v>
      </c>
      <c r="BB87" s="371" t="str">
        <f>Import!G30</f>
        <v xml:space="preserve"> </v>
      </c>
      <c r="BC87" s="371"/>
      <c r="BD87" s="371"/>
      <c r="BE87" s="371"/>
      <c r="BF87" s="371"/>
      <c r="BG87" s="380" t="s">
        <v>1</v>
      </c>
      <c r="BH87" s="371" t="str">
        <f>Import!G31</f>
        <v xml:space="preserve"> </v>
      </c>
      <c r="BI87" s="371"/>
      <c r="BJ87" s="371"/>
      <c r="BK87" s="371"/>
      <c r="BL87" s="371"/>
      <c r="BM87" s="380" t="s">
        <v>1</v>
      </c>
      <c r="BN87" s="371" t="str">
        <f>Import!G32</f>
        <v xml:space="preserve"> </v>
      </c>
      <c r="BO87" s="371"/>
      <c r="BP87" s="371"/>
      <c r="BQ87" s="371"/>
      <c r="BR87" s="371"/>
      <c r="BS87" s="380" t="s">
        <v>1</v>
      </c>
      <c r="BT87" s="371" t="str">
        <f>Import!G33</f>
        <v xml:space="preserve"> </v>
      </c>
      <c r="BU87" s="371"/>
      <c r="BV87" s="371"/>
      <c r="BW87" s="371"/>
      <c r="BX87" s="371"/>
      <c r="BY87" s="380" t="s">
        <v>1</v>
      </c>
      <c r="BZ87" s="371" t="str">
        <f>Import!G34</f>
        <v xml:space="preserve"> </v>
      </c>
      <c r="CA87" s="371"/>
      <c r="CB87" s="371"/>
      <c r="CC87" s="371"/>
      <c r="CD87" s="371"/>
      <c r="CE87" s="380" t="s">
        <v>1</v>
      </c>
      <c r="CF87" s="371" t="str">
        <f>Import!G35</f>
        <v xml:space="preserve"> </v>
      </c>
      <c r="CG87" s="371"/>
      <c r="CH87" s="371"/>
      <c r="CI87" s="371"/>
      <c r="CJ87" s="371"/>
      <c r="CK87" s="380" t="s">
        <v>1</v>
      </c>
      <c r="CL87" s="371" t="str">
        <f>Import!G36</f>
        <v xml:space="preserve"> </v>
      </c>
      <c r="CM87" s="371"/>
      <c r="CN87" s="371"/>
      <c r="CO87" s="372"/>
    </row>
    <row r="88" spans="19:93">
      <c r="S88" s="371"/>
      <c r="AE88" s="370"/>
      <c r="AF88" s="371"/>
      <c r="AG88" s="371"/>
      <c r="AH88" s="371"/>
      <c r="AI88" s="380"/>
      <c r="AJ88" s="363" t="str">
        <f>IF(AND(Input!D11="3Y",Import!F27=1)," SINGLE PHASE"," ")</f>
        <v xml:space="preserve"> </v>
      </c>
      <c r="AK88" s="371"/>
      <c r="AL88" s="371"/>
      <c r="AM88" s="371"/>
      <c r="AN88" s="371"/>
      <c r="AO88" s="380"/>
      <c r="AP88" s="363" t="str">
        <f>IF(AND(Input!D11="3Y",Import!F28=1)," SINGLE PHASE"," ")</f>
        <v xml:space="preserve"> </v>
      </c>
      <c r="AQ88" s="371"/>
      <c r="AR88" s="371"/>
      <c r="AS88" s="371"/>
      <c r="AT88" s="371"/>
      <c r="AU88" s="380"/>
      <c r="AV88" s="363" t="str">
        <f>IF(AND(Input!D11="3Y",Import!F29=1)," SINGLE PHASE"," ")</f>
        <v xml:space="preserve"> </v>
      </c>
      <c r="AW88" s="371"/>
      <c r="AX88" s="371"/>
      <c r="AY88" s="371"/>
      <c r="AZ88" s="371"/>
      <c r="BA88" s="380"/>
      <c r="BB88" s="363" t="str">
        <f>IF(AND(Input!D11="3Y",Import!F30=1)," SINGLE PHASE"," ")</f>
        <v xml:space="preserve"> </v>
      </c>
      <c r="BC88" s="371"/>
      <c r="BD88" s="371"/>
      <c r="BE88" s="371"/>
      <c r="BF88" s="371"/>
      <c r="BG88" s="380"/>
      <c r="BH88" s="363" t="str">
        <f>IF(AND(Input!D11="3Y",Import!F31=1)," SINGLE PHASE"," ")</f>
        <v xml:space="preserve"> </v>
      </c>
      <c r="BI88" s="371"/>
      <c r="BJ88" s="371"/>
      <c r="BK88" s="371"/>
      <c r="BL88" s="371"/>
      <c r="BM88" s="380"/>
      <c r="BN88" s="363" t="str">
        <f>IF(AND(Input!D11="3Y",Import!F32=1)," SINGLE PHASE"," ")</f>
        <v xml:space="preserve"> </v>
      </c>
      <c r="BO88" s="371"/>
      <c r="BP88" s="371"/>
      <c r="BQ88" s="371"/>
      <c r="BR88" s="371"/>
      <c r="BS88" s="380"/>
      <c r="BT88" s="363" t="str">
        <f>IF(AND(Input!D11="3Y",Import!F33=1)," SINGLE PHASE"," ")</f>
        <v xml:space="preserve"> </v>
      </c>
      <c r="BU88" s="371"/>
      <c r="BV88" s="371"/>
      <c r="BW88" s="371"/>
      <c r="BX88" s="371"/>
      <c r="BY88" s="380"/>
      <c r="BZ88" s="363" t="str">
        <f>IF(AND(Input!D11="3Y",Import!F34=1)," SINGLE PHASE"," ")</f>
        <v xml:space="preserve"> </v>
      </c>
      <c r="CA88" s="371"/>
      <c r="CB88" s="371"/>
      <c r="CC88" s="371"/>
      <c r="CD88" s="371"/>
      <c r="CE88" s="380"/>
      <c r="CF88" s="363" t="str">
        <f>IF(AND(Input!D11="3Y",Import!F35=1)," SINGLE PHASE"," ")</f>
        <v xml:space="preserve"> </v>
      </c>
      <c r="CG88" s="371"/>
      <c r="CH88" s="371"/>
      <c r="CI88" s="371"/>
      <c r="CJ88" s="371"/>
      <c r="CK88" s="380"/>
      <c r="CL88" s="363" t="str">
        <f>IF(AND(Input!D11="3Y",Import!F36=1)," SINGLE PHASE"," ")</f>
        <v xml:space="preserve"> </v>
      </c>
      <c r="CM88" s="371"/>
      <c r="CN88" s="371"/>
      <c r="CO88" s="372"/>
    </row>
    <row r="89" spans="19:93">
      <c r="S89" s="371"/>
      <c r="AE89" s="370"/>
      <c r="AF89" s="371"/>
      <c r="AG89" s="371"/>
      <c r="AH89" s="371"/>
      <c r="AI89" s="371"/>
      <c r="AJ89" s="363"/>
      <c r="AK89" s="371"/>
      <c r="AL89" s="371"/>
      <c r="AM89" s="371"/>
      <c r="AN89" s="371"/>
      <c r="AO89" s="371"/>
      <c r="AP89" s="363"/>
      <c r="AQ89" s="371"/>
      <c r="AR89" s="371"/>
      <c r="AS89" s="371"/>
      <c r="AT89" s="371"/>
      <c r="AU89" s="371"/>
      <c r="AV89" s="363"/>
      <c r="AW89" s="371"/>
      <c r="AX89" s="371"/>
      <c r="AY89" s="371"/>
      <c r="AZ89" s="371"/>
      <c r="BA89" s="371"/>
      <c r="BB89" s="363"/>
      <c r="BC89" s="371"/>
      <c r="BD89" s="371"/>
      <c r="BE89" s="371"/>
      <c r="BF89" s="371"/>
      <c r="BG89" s="371"/>
      <c r="BH89" s="363"/>
      <c r="BI89" s="371"/>
      <c r="BJ89" s="371"/>
      <c r="BK89" s="371"/>
      <c r="BL89" s="371"/>
      <c r="BM89" s="371"/>
      <c r="BN89" s="363"/>
      <c r="BO89" s="371"/>
      <c r="BP89" s="371"/>
      <c r="BQ89" s="371"/>
      <c r="BR89" s="371"/>
      <c r="BS89" s="371"/>
      <c r="BT89" s="363"/>
      <c r="BU89" s="371"/>
      <c r="BV89" s="371"/>
      <c r="BW89" s="371"/>
      <c r="BX89" s="371"/>
      <c r="BY89" s="371"/>
      <c r="BZ89" s="363"/>
      <c r="CA89" s="371"/>
      <c r="CB89" s="371"/>
      <c r="CC89" s="371"/>
      <c r="CD89" s="371"/>
      <c r="CE89" s="371"/>
      <c r="CF89" s="363"/>
      <c r="CG89" s="371"/>
      <c r="CH89" s="371"/>
      <c r="CI89" s="371"/>
      <c r="CJ89" s="371"/>
      <c r="CK89" s="371"/>
      <c r="CL89" s="363"/>
      <c r="CM89" s="371"/>
      <c r="CN89" s="371"/>
      <c r="CO89" s="372"/>
    </row>
    <row r="90" spans="19:93">
      <c r="S90" s="371"/>
      <c r="T90" s="371"/>
      <c r="U90" s="371"/>
      <c r="V90" s="371"/>
      <c r="W90" s="371"/>
      <c r="X90" s="371"/>
      <c r="Y90" s="371"/>
      <c r="Z90" s="371"/>
      <c r="AA90" s="371"/>
      <c r="AB90" s="371"/>
      <c r="AC90" s="371"/>
      <c r="AD90" s="371"/>
      <c r="AE90" s="387"/>
      <c r="AF90" s="388"/>
      <c r="AG90" s="388"/>
      <c r="AH90" s="388"/>
      <c r="AI90" s="388"/>
      <c r="AJ90" s="390" t="str">
        <f>IF(B29="NO","",AFC!P36)</f>
        <v xml:space="preserve"> 16.6 K </v>
      </c>
      <c r="AK90" s="388"/>
      <c r="AL90" s="388"/>
      <c r="AM90" s="388"/>
      <c r="AN90" s="388"/>
      <c r="AO90" s="388"/>
      <c r="AP90" s="390" t="str">
        <f>IF(B29="NO","",AFC!P36)</f>
        <v xml:space="preserve"> 16.6 K </v>
      </c>
      <c r="AQ90" s="388"/>
      <c r="AR90" s="388"/>
      <c r="AS90" s="388"/>
      <c r="AT90" s="388"/>
      <c r="AU90" s="388"/>
      <c r="AV90" s="390" t="str">
        <f>IF(B29="NO","",AFC!P36)</f>
        <v xml:space="preserve"> 16.6 K </v>
      </c>
      <c r="AW90" s="388"/>
      <c r="AX90" s="388"/>
      <c r="AY90" s="388"/>
      <c r="AZ90" s="388"/>
      <c r="BA90" s="388"/>
      <c r="BB90" s="390" t="str">
        <f>IF(B29="NO","",AFC!P36)</f>
        <v xml:space="preserve"> 16.6 K </v>
      </c>
      <c r="BC90" s="388"/>
      <c r="BD90" s="388"/>
      <c r="BE90" s="388"/>
      <c r="BF90" s="388"/>
      <c r="BG90" s="388"/>
      <c r="BH90" s="390" t="str">
        <f>IF(B29="NO","",AFC!P36)</f>
        <v xml:space="preserve"> 16.6 K </v>
      </c>
      <c r="BI90" s="388"/>
      <c r="BJ90" s="388"/>
      <c r="BK90" s="388"/>
      <c r="BL90" s="388"/>
      <c r="BM90" s="388"/>
      <c r="BN90" s="390" t="str">
        <f>IF(B29="NO","",AFC!P36)</f>
        <v xml:space="preserve"> 16.6 K </v>
      </c>
      <c r="BO90" s="388"/>
      <c r="BP90" s="388"/>
      <c r="BQ90" s="388"/>
      <c r="BR90" s="388"/>
      <c r="BS90" s="388"/>
      <c r="BT90" s="390" t="str">
        <f>IF(B29="NO","",AFC!P36)</f>
        <v xml:space="preserve"> 16.6 K </v>
      </c>
      <c r="BU90" s="388"/>
      <c r="BV90" s="388"/>
      <c r="BW90" s="388"/>
      <c r="BX90" s="388"/>
      <c r="BY90" s="388"/>
      <c r="BZ90" s="390" t="str">
        <f>IF(B29="NO","",AFC!P36)</f>
        <v xml:space="preserve"> 16.6 K </v>
      </c>
      <c r="CA90" s="388"/>
      <c r="CB90" s="388"/>
      <c r="CC90" s="388"/>
      <c r="CD90" s="388"/>
      <c r="CE90" s="388"/>
      <c r="CF90" s="390" t="str">
        <f>IF(B29="NO","",AFC!P36)</f>
        <v xml:space="preserve"> 16.6 K </v>
      </c>
      <c r="CG90" s="388"/>
      <c r="CH90" s="388"/>
      <c r="CI90" s="388"/>
      <c r="CJ90" s="388"/>
      <c r="CK90" s="388"/>
      <c r="CL90" s="390" t="str">
        <f>IF(B29="NO","",AFC!P36)</f>
        <v xml:space="preserve"> 16.6 K </v>
      </c>
      <c r="CM90" s="388"/>
      <c r="CN90" s="388"/>
      <c r="CO90" s="391"/>
    </row>
    <row r="91" spans="19:93">
      <c r="AJ91" s="363"/>
      <c r="AP91" s="363"/>
      <c r="AV91" s="363"/>
      <c r="BB91" s="363"/>
      <c r="BH91" s="363"/>
      <c r="BN91" s="363"/>
      <c r="BT91" s="363"/>
      <c r="BZ91" s="363"/>
      <c r="CF91" s="363"/>
      <c r="CL91" s="363"/>
    </row>
    <row r="92" spans="19:93">
      <c r="AJ92" s="363" t="str">
        <f>Import!BA27</f>
        <v xml:space="preserve">  '</v>
      </c>
      <c r="AP92" s="363" t="str">
        <f>Import!BA28</f>
        <v xml:space="preserve">  '</v>
      </c>
      <c r="AV92" s="363" t="str">
        <f>Import!BA29</f>
        <v xml:space="preserve">  '</v>
      </c>
      <c r="BB92" s="363" t="str">
        <f>Import!BA30</f>
        <v xml:space="preserve">  '</v>
      </c>
      <c r="BH92" s="363" t="str">
        <f>Import!BA31</f>
        <v xml:space="preserve">  '</v>
      </c>
      <c r="BN92" s="363" t="str">
        <f>Import!BA32</f>
        <v xml:space="preserve">  '</v>
      </c>
      <c r="BT92" s="363" t="str">
        <f>Import!BA33</f>
        <v xml:space="preserve">  '</v>
      </c>
      <c r="BZ92" s="363" t="str">
        <f>Import!BA34</f>
        <v xml:space="preserve">  '</v>
      </c>
      <c r="CF92" s="363" t="str">
        <f>Import!BA35</f>
        <v xml:space="preserve">  '</v>
      </c>
      <c r="CL92" s="363" t="str">
        <f>Import!BA36</f>
        <v xml:space="preserve">  '</v>
      </c>
    </row>
    <row r="93" spans="19:93">
      <c r="AJ93" s="363" t="str">
        <f>Import!J27</f>
        <v xml:space="preserve"> </v>
      </c>
      <c r="AP93" s="363" t="str">
        <f>Import!J28</f>
        <v xml:space="preserve"> </v>
      </c>
      <c r="AV93" s="363" t="str">
        <f>Import!J29</f>
        <v xml:space="preserve"> </v>
      </c>
      <c r="BB93" s="363" t="str">
        <f>Import!J30</f>
        <v xml:space="preserve"> </v>
      </c>
      <c r="BH93" s="363" t="str">
        <f>Import!J31</f>
        <v xml:space="preserve"> </v>
      </c>
      <c r="BN93" s="363" t="str">
        <f>Import!J32</f>
        <v xml:space="preserve"> </v>
      </c>
      <c r="BT93" s="363" t="str">
        <f>Import!J33</f>
        <v xml:space="preserve"> </v>
      </c>
      <c r="BZ93" s="363" t="str">
        <f>Import!J34</f>
        <v xml:space="preserve"> </v>
      </c>
      <c r="CF93" s="363" t="str">
        <f>Import!J35</f>
        <v xml:space="preserve"> </v>
      </c>
      <c r="CL93" s="363" t="str">
        <f>Import!J36</f>
        <v xml:space="preserve"> </v>
      </c>
    </row>
    <row r="94" spans="19:93">
      <c r="AJ94" s="363" t="str">
        <f>Import!K27</f>
        <v xml:space="preserve"> </v>
      </c>
      <c r="AP94" s="363" t="str">
        <f>Import!K28</f>
        <v xml:space="preserve"> </v>
      </c>
      <c r="AV94" s="363" t="str">
        <f>Import!K29</f>
        <v xml:space="preserve"> </v>
      </c>
      <c r="BB94" s="363" t="str">
        <f>Import!K30</f>
        <v xml:space="preserve"> </v>
      </c>
      <c r="BH94" s="363" t="str">
        <f>Import!K31</f>
        <v xml:space="preserve"> </v>
      </c>
      <c r="BN94" s="363" t="str">
        <f>Import!K32</f>
        <v xml:space="preserve"> </v>
      </c>
      <c r="BT94" s="363" t="str">
        <f>Import!K33</f>
        <v xml:space="preserve"> </v>
      </c>
      <c r="BZ94" s="363" t="str">
        <f>Import!K34</f>
        <v xml:space="preserve"> </v>
      </c>
      <c r="CF94" s="363" t="str">
        <f>Import!K35</f>
        <v xml:space="preserve"> </v>
      </c>
      <c r="CL94" s="363" t="str">
        <f>Import!K36</f>
        <v xml:space="preserve"> </v>
      </c>
    </row>
    <row r="95" spans="19:93">
      <c r="AJ95" s="363" t="str">
        <f>Import!L27</f>
        <v xml:space="preserve"> </v>
      </c>
      <c r="AP95" s="363" t="str">
        <f>Import!L28</f>
        <v xml:space="preserve"> </v>
      </c>
      <c r="AV95" s="363" t="str">
        <f>Import!L29</f>
        <v xml:space="preserve"> </v>
      </c>
      <c r="BB95" s="363" t="str">
        <f>Import!L30</f>
        <v xml:space="preserve"> </v>
      </c>
      <c r="BH95" s="363" t="str">
        <f>Import!L31</f>
        <v xml:space="preserve"> </v>
      </c>
      <c r="BN95" s="363" t="str">
        <f>Import!L32</f>
        <v xml:space="preserve"> </v>
      </c>
      <c r="BT95" s="363" t="str">
        <f>Import!L33</f>
        <v xml:space="preserve"> </v>
      </c>
      <c r="BZ95" s="363" t="str">
        <f>Import!L34</f>
        <v xml:space="preserve"> </v>
      </c>
      <c r="CF95" s="363" t="str">
        <f>Import!L35</f>
        <v xml:space="preserve"> </v>
      </c>
      <c r="CL95" s="363" t="str">
        <f>Import!L36</f>
        <v xml:space="preserve"> </v>
      </c>
    </row>
    <row r="96" spans="19:93">
      <c r="AJ96" s="363" t="str">
        <f>Import!M27</f>
        <v xml:space="preserve"> </v>
      </c>
      <c r="AP96" s="363" t="str">
        <f>Import!M28</f>
        <v xml:space="preserve"> </v>
      </c>
      <c r="AV96" s="363" t="str">
        <f>Import!M29</f>
        <v xml:space="preserve"> </v>
      </c>
      <c r="BB96" s="363" t="str">
        <f>Import!M30</f>
        <v xml:space="preserve"> </v>
      </c>
      <c r="BH96" s="363" t="str">
        <f>Import!M31</f>
        <v xml:space="preserve"> </v>
      </c>
      <c r="BN96" s="363" t="str">
        <f>Import!M32</f>
        <v xml:space="preserve"> </v>
      </c>
      <c r="BT96" s="363" t="str">
        <f>Import!M33</f>
        <v xml:space="preserve"> </v>
      </c>
      <c r="BZ96" s="363" t="str">
        <f>Import!M34</f>
        <v xml:space="preserve"> </v>
      </c>
      <c r="CF96" s="363" t="str">
        <f>Import!M35</f>
        <v xml:space="preserve"> </v>
      </c>
      <c r="CL96" s="363" t="str">
        <f>Import!M36</f>
        <v xml:space="preserve"> </v>
      </c>
    </row>
    <row r="97" spans="34:91">
      <c r="AJ97" s="363" t="str">
        <f>Import!N27</f>
        <v xml:space="preserve"> </v>
      </c>
      <c r="AP97" s="363" t="str">
        <f>Import!N28</f>
        <v xml:space="preserve"> </v>
      </c>
      <c r="AV97" s="363" t="str">
        <f>Import!N29</f>
        <v xml:space="preserve"> </v>
      </c>
      <c r="BB97" s="363" t="str">
        <f>Import!N30</f>
        <v xml:space="preserve"> </v>
      </c>
      <c r="BH97" s="363" t="str">
        <f>Import!N31</f>
        <v xml:space="preserve"> </v>
      </c>
      <c r="BN97" s="363" t="str">
        <f>Import!N32</f>
        <v xml:space="preserve"> </v>
      </c>
      <c r="BT97" s="363" t="str">
        <f>Import!N33</f>
        <v xml:space="preserve"> </v>
      </c>
      <c r="BZ97" s="363" t="str">
        <f>Import!N34</f>
        <v xml:space="preserve"> </v>
      </c>
      <c r="CF97" s="363" t="str">
        <f>Import!N35</f>
        <v xml:space="preserve"> </v>
      </c>
      <c r="CL97" s="363" t="str">
        <f>Import!N36</f>
        <v xml:space="preserve"> </v>
      </c>
    </row>
    <row r="98" spans="34:91">
      <c r="AJ98" s="363"/>
      <c r="AP98" s="363"/>
      <c r="AV98" s="363"/>
      <c r="BB98" s="363"/>
      <c r="BH98" s="363"/>
      <c r="BN98" s="363"/>
      <c r="BT98" s="363"/>
      <c r="BZ98" s="363"/>
      <c r="CF98" s="363"/>
      <c r="CL98" s="363"/>
    </row>
    <row r="99" spans="34:91">
      <c r="AI99" s="340" t="str">
        <f>IF(B29="NO"," ",AFC!P24)</f>
        <v/>
      </c>
      <c r="AJ99" s="363" t="str">
        <f>IF(B30="NO"," ",Import!O27)</f>
        <v xml:space="preserve"> </v>
      </c>
      <c r="AO99" s="340" t="str">
        <f>IF(B29="NO"," ",AFC!P25)</f>
        <v/>
      </c>
      <c r="AP99" s="363" t="str">
        <f>IF(B30="NO"," ",Import!O28)</f>
        <v xml:space="preserve"> </v>
      </c>
      <c r="AU99" s="340" t="str">
        <f>IF(B29="NO"," ",AFC!P26)</f>
        <v/>
      </c>
      <c r="AV99" s="363" t="str">
        <f>IF(B30="NO"," ",Import!O29)</f>
        <v xml:space="preserve"> </v>
      </c>
      <c r="BA99" s="340" t="str">
        <f>IF(B29="NO"," ",AFC!P27)</f>
        <v/>
      </c>
      <c r="BB99" s="363" t="str">
        <f>IF(B30="NO"," ",Import!O30)</f>
        <v xml:space="preserve"> </v>
      </c>
      <c r="BG99" s="340" t="str">
        <f>IF(B29="NO"," ",AFC!P28)</f>
        <v/>
      </c>
      <c r="BH99" s="363" t="str">
        <f>IF(B30="NO"," ",Import!O31)</f>
        <v xml:space="preserve"> </v>
      </c>
      <c r="BM99" s="340" t="str">
        <f>IF(B29="NO"," ",AFC!P29)</f>
        <v/>
      </c>
      <c r="BN99" s="363" t="str">
        <f>IF(B30="NO"," ",Import!O32)</f>
        <v xml:space="preserve"> </v>
      </c>
      <c r="BS99" s="340" t="str">
        <f>IF(B29="NO"," ",AFC!P30)</f>
        <v/>
      </c>
      <c r="BT99" s="363" t="str">
        <f>IF(B30="NO"," ",Import!O33)</f>
        <v xml:space="preserve"> </v>
      </c>
      <c r="BY99" s="340" t="str">
        <f>IF(B29="NO"," ",AFC!P31)</f>
        <v/>
      </c>
      <c r="BZ99" s="363" t="str">
        <f>IF(B30="NO"," ",Import!O34)</f>
        <v xml:space="preserve"> </v>
      </c>
      <c r="CE99" s="340" t="str">
        <f>IF(B29="NO"," ",AFC!P32)</f>
        <v/>
      </c>
      <c r="CF99" s="363" t="str">
        <f>IF(B30="NO"," ",Import!O35)</f>
        <v xml:space="preserve"> </v>
      </c>
      <c r="CK99" s="340" t="str">
        <f>IF(B29="NO"," ",AFC!P33)</f>
        <v/>
      </c>
      <c r="CL99" s="363" t="str">
        <f>IF(B30="NO"," ",Import!O36)</f>
        <v xml:space="preserve"> </v>
      </c>
    </row>
    <row r="100" spans="34:91">
      <c r="AH100" s="374"/>
      <c r="AI100" s="375"/>
      <c r="AJ100" s="375"/>
      <c r="AK100" s="377"/>
      <c r="AN100" s="374"/>
      <c r="AO100" s="375"/>
      <c r="AP100" s="375"/>
      <c r="AQ100" s="377"/>
      <c r="AT100" s="374"/>
      <c r="AU100" s="375"/>
      <c r="AV100" s="375"/>
      <c r="AW100" s="377"/>
      <c r="AZ100" s="374"/>
      <c r="BA100" s="375"/>
      <c r="BB100" s="375"/>
      <c r="BC100" s="377"/>
      <c r="BF100" s="374"/>
      <c r="BG100" s="375"/>
      <c r="BH100" s="375"/>
      <c r="BI100" s="377"/>
      <c r="BL100" s="374"/>
      <c r="BM100" s="375"/>
      <c r="BN100" s="375"/>
      <c r="BO100" s="377"/>
      <c r="BR100" s="374"/>
      <c r="BS100" s="375"/>
      <c r="BT100" s="375"/>
      <c r="BU100" s="377"/>
      <c r="BX100" s="374"/>
      <c r="BY100" s="375"/>
      <c r="BZ100" s="375"/>
      <c r="CA100" s="377"/>
      <c r="CD100" s="374"/>
      <c r="CE100" s="375"/>
      <c r="CF100" s="375"/>
      <c r="CG100" s="377"/>
      <c r="CJ100" s="374"/>
      <c r="CK100" s="375"/>
      <c r="CL100" s="375"/>
      <c r="CM100" s="377"/>
    </row>
    <row r="101" spans="34:91">
      <c r="AH101" s="363" t="s">
        <v>7</v>
      </c>
      <c r="AI101" s="371"/>
      <c r="AJ101" s="371"/>
      <c r="AK101" s="373"/>
      <c r="AN101" s="363" t="s">
        <v>7</v>
      </c>
      <c r="AO101" s="371"/>
      <c r="AP101" s="371"/>
      <c r="AQ101" s="373"/>
      <c r="AT101" s="363" t="s">
        <v>7</v>
      </c>
      <c r="AU101" s="371"/>
      <c r="AV101" s="371"/>
      <c r="AW101" s="373"/>
      <c r="AZ101" s="363" t="s">
        <v>7</v>
      </c>
      <c r="BA101" s="371"/>
      <c r="BB101" s="371"/>
      <c r="BC101" s="373"/>
      <c r="BF101" s="363" t="s">
        <v>7</v>
      </c>
      <c r="BG101" s="371"/>
      <c r="BH101" s="371"/>
      <c r="BI101" s="373"/>
      <c r="BL101" s="363" t="s">
        <v>7</v>
      </c>
      <c r="BM101" s="371"/>
      <c r="BN101" s="371"/>
      <c r="BO101" s="373"/>
      <c r="BR101" s="363" t="s">
        <v>7</v>
      </c>
      <c r="BS101" s="371"/>
      <c r="BT101" s="371"/>
      <c r="BU101" s="373"/>
      <c r="BX101" s="363" t="s">
        <v>7</v>
      </c>
      <c r="BY101" s="371"/>
      <c r="BZ101" s="371"/>
      <c r="CA101" s="373"/>
      <c r="CD101" s="363" t="s">
        <v>7</v>
      </c>
      <c r="CE101" s="371"/>
      <c r="CF101" s="371"/>
      <c r="CG101" s="373"/>
      <c r="CJ101" s="363" t="s">
        <v>7</v>
      </c>
      <c r="CK101" s="371"/>
      <c r="CL101" s="371"/>
      <c r="CM101" s="373"/>
    </row>
    <row r="102" spans="34:91">
      <c r="AH102" s="363" t="s">
        <v>8</v>
      </c>
      <c r="AI102" s="371"/>
      <c r="AJ102" s="371"/>
      <c r="AK102" s="373"/>
      <c r="AN102" s="363" t="s">
        <v>8</v>
      </c>
      <c r="AO102" s="371"/>
      <c r="AP102" s="371"/>
      <c r="AQ102" s="373"/>
      <c r="AT102" s="363" t="s">
        <v>8</v>
      </c>
      <c r="AU102" s="371"/>
      <c r="AV102" s="371"/>
      <c r="AW102" s="373"/>
      <c r="AZ102" s="363" t="s">
        <v>8</v>
      </c>
      <c r="BA102" s="371"/>
      <c r="BB102" s="371"/>
      <c r="BC102" s="373"/>
      <c r="BF102" s="363" t="s">
        <v>8</v>
      </c>
      <c r="BG102" s="371"/>
      <c r="BH102" s="371"/>
      <c r="BI102" s="373"/>
      <c r="BL102" s="363" t="s">
        <v>8</v>
      </c>
      <c r="BM102" s="371"/>
      <c r="BN102" s="371"/>
      <c r="BO102" s="373"/>
      <c r="BR102" s="363" t="s">
        <v>8</v>
      </c>
      <c r="BS102" s="371"/>
      <c r="BT102" s="371"/>
      <c r="BU102" s="373"/>
      <c r="BX102" s="363" t="s">
        <v>8</v>
      </c>
      <c r="BY102" s="371"/>
      <c r="BZ102" s="371"/>
      <c r="CA102" s="373"/>
      <c r="CD102" s="363" t="s">
        <v>8</v>
      </c>
      <c r="CE102" s="371"/>
      <c r="CF102" s="371"/>
      <c r="CG102" s="373"/>
      <c r="CJ102" s="363" t="s">
        <v>8</v>
      </c>
      <c r="CK102" s="371"/>
      <c r="CL102" s="371"/>
      <c r="CM102" s="373"/>
    </row>
    <row r="103" spans="34:91">
      <c r="AH103" s="363" t="s">
        <v>9</v>
      </c>
      <c r="AI103" s="371"/>
      <c r="AJ103" s="371"/>
      <c r="AK103" s="373"/>
      <c r="AN103" s="363" t="s">
        <v>9</v>
      </c>
      <c r="AO103" s="371"/>
      <c r="AP103" s="371"/>
      <c r="AQ103" s="373"/>
      <c r="AT103" s="363" t="s">
        <v>9</v>
      </c>
      <c r="AU103" s="371"/>
      <c r="AV103" s="371"/>
      <c r="AW103" s="373"/>
      <c r="AZ103" s="363" t="s">
        <v>9</v>
      </c>
      <c r="BA103" s="371"/>
      <c r="BB103" s="371"/>
      <c r="BC103" s="373"/>
      <c r="BF103" s="363" t="s">
        <v>9</v>
      </c>
      <c r="BG103" s="371"/>
      <c r="BH103" s="371"/>
      <c r="BI103" s="373"/>
      <c r="BL103" s="363" t="s">
        <v>9</v>
      </c>
      <c r="BM103" s="371"/>
      <c r="BN103" s="371"/>
      <c r="BO103" s="373"/>
      <c r="BR103" s="363" t="s">
        <v>9</v>
      </c>
      <c r="BS103" s="371"/>
      <c r="BT103" s="371"/>
      <c r="BU103" s="373"/>
      <c r="BX103" s="363" t="s">
        <v>9</v>
      </c>
      <c r="BY103" s="371"/>
      <c r="BZ103" s="371"/>
      <c r="CA103" s="373"/>
      <c r="CD103" s="363" t="s">
        <v>9</v>
      </c>
      <c r="CE103" s="371"/>
      <c r="CF103" s="371"/>
      <c r="CG103" s="373"/>
      <c r="CJ103" s="363" t="s">
        <v>9</v>
      </c>
      <c r="CK103" s="371"/>
      <c r="CL103" s="371"/>
      <c r="CM103" s="373"/>
    </row>
    <row r="104" spans="34:91">
      <c r="AH104" s="363" t="str">
        <f>Import!E27</f>
        <v xml:space="preserve"> </v>
      </c>
      <c r="AI104" s="371"/>
      <c r="AJ104" s="371"/>
      <c r="AK104" s="373"/>
      <c r="AN104" s="363" t="str">
        <f>Import!E28</f>
        <v xml:space="preserve"> </v>
      </c>
      <c r="AO104" s="371"/>
      <c r="AP104" s="371"/>
      <c r="AQ104" s="373"/>
      <c r="AT104" s="363" t="str">
        <f>Import!E29</f>
        <v xml:space="preserve"> </v>
      </c>
      <c r="AU104" s="371"/>
      <c r="AV104" s="371"/>
      <c r="AW104" s="373"/>
      <c r="AZ104" s="363" t="str">
        <f>Import!E30</f>
        <v xml:space="preserve"> </v>
      </c>
      <c r="BA104" s="371"/>
      <c r="BB104" s="371"/>
      <c r="BC104" s="373"/>
      <c r="BF104" s="363" t="str">
        <f>Import!E31</f>
        <v xml:space="preserve"> </v>
      </c>
      <c r="BG104" s="371"/>
      <c r="BH104" s="371"/>
      <c r="BI104" s="373"/>
      <c r="BL104" s="363" t="str">
        <f>Import!E32</f>
        <v xml:space="preserve"> </v>
      </c>
      <c r="BM104" s="371"/>
      <c r="BN104" s="371"/>
      <c r="BO104" s="373"/>
      <c r="BR104" s="363" t="str">
        <f>Import!E33</f>
        <v xml:space="preserve"> </v>
      </c>
      <c r="BS104" s="371"/>
      <c r="BT104" s="371"/>
      <c r="BU104" s="373"/>
      <c r="BX104" s="363" t="str">
        <f>Import!E34</f>
        <v xml:space="preserve"> </v>
      </c>
      <c r="BY104" s="371"/>
      <c r="BZ104" s="371"/>
      <c r="CA104" s="373"/>
      <c r="CD104" s="363" t="str">
        <f>Import!E35</f>
        <v xml:space="preserve"> </v>
      </c>
      <c r="CE104" s="371"/>
      <c r="CF104" s="371"/>
      <c r="CG104" s="373"/>
      <c r="CJ104" s="363" t="str">
        <f>Import!E36</f>
        <v xml:space="preserve"> </v>
      </c>
      <c r="CK104" s="371"/>
      <c r="CL104" s="371"/>
      <c r="CM104" s="373"/>
    </row>
    <row r="105" spans="34:91">
      <c r="AH105" s="378"/>
      <c r="AI105" s="381"/>
      <c r="AJ105" s="381"/>
      <c r="AK105" s="382"/>
      <c r="AN105" s="378"/>
      <c r="AO105" s="381"/>
      <c r="AP105" s="381"/>
      <c r="AQ105" s="382"/>
      <c r="AT105" s="378"/>
      <c r="AU105" s="381"/>
      <c r="AV105" s="381"/>
      <c r="AW105" s="382"/>
      <c r="AZ105" s="378"/>
      <c r="BA105" s="381"/>
      <c r="BB105" s="381"/>
      <c r="BC105" s="382"/>
      <c r="BF105" s="378"/>
      <c r="BG105" s="381"/>
      <c r="BH105" s="381"/>
      <c r="BI105" s="382"/>
      <c r="BL105" s="378"/>
      <c r="BM105" s="381"/>
      <c r="BN105" s="381"/>
      <c r="BO105" s="382"/>
      <c r="BR105" s="378"/>
      <c r="BS105" s="381"/>
      <c r="BT105" s="381"/>
      <c r="BU105" s="382"/>
      <c r="BX105" s="378"/>
      <c r="BY105" s="381"/>
      <c r="BZ105" s="381"/>
      <c r="CA105" s="382"/>
      <c r="CD105" s="378"/>
      <c r="CE105" s="381"/>
      <c r="CF105" s="381"/>
      <c r="CG105" s="382"/>
      <c r="CJ105" s="378"/>
      <c r="CK105" s="381"/>
      <c r="CL105" s="381"/>
      <c r="CM105" s="382"/>
    </row>
    <row r="106" spans="34:91"/>
    <row r="107" spans="34:91"/>
    <row r="108" spans="34:91"/>
    <row r="109" spans="34:91" hidden="1"/>
    <row r="110" spans="34:91" hidden="1"/>
    <row r="111" spans="34:91" hidden="1"/>
    <row r="112" spans="34:91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</sheetData>
  <sheetProtection password="DDCA" sheet="1" objects="1" scenarios="1"/>
  <phoneticPr fontId="0" type="noConversion"/>
  <conditionalFormatting sqref="AD108 CQ79:CQ108 AE107:CO108 X52:Y52 U44:V108 Z22:Z25 AA33 L22:M23 X33:Y33 X22:Y26 AA22:AA26 CQ23:CQ77 AE22:AF25 AR22:AR25 CP22:CP108 U24:U28 AL27:AL53 AM34:AM53 AG22:AG53 AH52:AK53 AN53:CO53 W22:W108 V22:V32 U30:U32 H22:K108 N22:T108 L41:M108 X68:AA108 AA52 U22 AM22:AM23 AX22:AX25 AS22:AS23 BD22:BD25 AL22:AL25 BP22:BP25 BV22:BV25 CH22:CH25 CB22:CB25 BJ22:BJ25 AB22:AC108 AD22:AD106 CN22:CN25">
    <cfRule type="expression" dxfId="378" priority="1" stopIfTrue="1">
      <formula>IF($B$22&gt;0,TRUE,FALSE)</formula>
    </cfRule>
  </conditionalFormatting>
  <conditionalFormatting sqref="U29">
    <cfRule type="expression" dxfId="377" priority="2" stopIfTrue="1">
      <formula>IF($B$22&gt;0,TRUE,FALSE)</formula>
    </cfRule>
    <cfRule type="expression" dxfId="376" priority="3" stopIfTrue="1">
      <formula>IF(B24="YES",TRUE,FALSE)</formula>
    </cfRule>
  </conditionalFormatting>
  <conditionalFormatting sqref="X34:AA51 X27:AA32">
    <cfRule type="expression" dxfId="375" priority="4" stopIfTrue="1">
      <formula>IF($B$22&gt;0,TRUE,FALSE)</formula>
    </cfRule>
    <cfRule type="expression" dxfId="374" priority="5" stopIfTrue="1">
      <formula>IF($B$25="NO",TRUE,FALSE)</formula>
    </cfRule>
  </conditionalFormatting>
  <conditionalFormatting sqref="Z33">
    <cfRule type="expression" dxfId="373" priority="6" stopIfTrue="1">
      <formula>IF($B$22&gt;0,TRUE,FALSE)</formula>
    </cfRule>
    <cfRule type="expression" dxfId="372" priority="7" stopIfTrue="1">
      <formula>IF($B$25="NO",TRUE,FALSE)</formula>
    </cfRule>
  </conditionalFormatting>
  <conditionalFormatting sqref="Z26">
    <cfRule type="expression" dxfId="371" priority="8" stopIfTrue="1">
      <formula>IF($B$22&gt;0,TRUE,FALSE)</formula>
    </cfRule>
    <cfRule type="expression" dxfId="370" priority="9" stopIfTrue="1">
      <formula>IF($B$25="NO",TRUE,FALSE)</formula>
    </cfRule>
  </conditionalFormatting>
  <conditionalFormatting sqref="AI35:AK51 AH27:AK32 AH34:AH51">
    <cfRule type="expression" dxfId="369" priority="10" stopIfTrue="1">
      <formula>IF($B$22&gt;0,TRUE,FALSE)</formula>
    </cfRule>
    <cfRule type="expression" dxfId="368" priority="11" stopIfTrue="1">
      <formula>IF($B$26&lt;1,TRUE,FALSE)</formula>
    </cfRule>
  </conditionalFormatting>
  <conditionalFormatting sqref="AH26:AI26 AK33:AK34 AH33 AI33:AI34">
    <cfRule type="expression" dxfId="367" priority="12" stopIfTrue="1">
      <formula>IF($B$22&gt;0,TRUE,FALSE)</formula>
    </cfRule>
    <cfRule type="expression" dxfId="366" priority="13" stopIfTrue="1">
      <formula>IF($B$26&lt;1,TRUE,FALSE)</formula>
    </cfRule>
  </conditionalFormatting>
  <conditionalFormatting sqref="AJ33:AJ34">
    <cfRule type="expression" dxfId="365" priority="14" stopIfTrue="1">
      <formula>IF($B$22&gt;0,TRUE,FALSE)</formula>
    </cfRule>
    <cfRule type="expression" dxfId="364" priority="15" stopIfTrue="1">
      <formula>IF($B$26&lt;1,TRUE,FALSE)</formula>
    </cfRule>
  </conditionalFormatting>
  <conditionalFormatting sqref="AF26:AF32">
    <cfRule type="expression" dxfId="363" priority="16" stopIfTrue="1">
      <formula>IF($B$22&gt;0,TRUE,FALSE)</formula>
    </cfRule>
    <cfRule type="expression" dxfId="362" priority="17" stopIfTrue="1">
      <formula>IF($B$26&lt;11,TRUE,FALSE)</formula>
    </cfRule>
  </conditionalFormatting>
  <conditionalFormatting sqref="AE26:AE32">
    <cfRule type="expression" dxfId="361" priority="18" stopIfTrue="1">
      <formula>IF($B$22&gt;0,TRUE,FALSE)</formula>
    </cfRule>
    <cfRule type="expression" dxfId="360" priority="19" stopIfTrue="1">
      <formula>IF($B$26&lt;11,TRUE,FALSE)</formula>
    </cfRule>
  </conditionalFormatting>
  <conditionalFormatting sqref="AF33">
    <cfRule type="expression" dxfId="359" priority="20" stopIfTrue="1">
      <formula>IF($B$22&gt;0,TRUE,FALSE)</formula>
    </cfRule>
    <cfRule type="expression" dxfId="358" priority="21" stopIfTrue="1">
      <formula>IF($B$26&lt;11,TRUE,FALSE)</formula>
    </cfRule>
  </conditionalFormatting>
  <conditionalFormatting sqref="AE33">
    <cfRule type="expression" dxfId="357" priority="22" stopIfTrue="1">
      <formula>IF($B$22&gt;0,TRUE,FALSE)</formula>
    </cfRule>
    <cfRule type="expression" dxfId="356" priority="23" stopIfTrue="1">
      <formula>IF($B$26&lt;11,TRUE,FALSE)</formula>
    </cfRule>
  </conditionalFormatting>
  <conditionalFormatting sqref="AE34:AF54">
    <cfRule type="expression" dxfId="355" priority="24" stopIfTrue="1">
      <formula>IF($B$22&gt;0,TRUE,FALSE)</formula>
    </cfRule>
    <cfRule type="expression" dxfId="354" priority="25" stopIfTrue="1">
      <formula>IF($B$26&lt;11,TRUE,FALSE)</formula>
    </cfRule>
  </conditionalFormatting>
  <conditionalFormatting sqref="AM24 AM27:AM33 AS24">
    <cfRule type="expression" dxfId="353" priority="26" stopIfTrue="1">
      <formula>IF($B$22&gt;0,TRUE,FALSE)</formula>
    </cfRule>
    <cfRule type="expression" dxfId="352" priority="27" stopIfTrue="1">
      <formula>IF($B$26=1,TRUE,FALSE)</formula>
    </cfRule>
  </conditionalFormatting>
  <conditionalFormatting sqref="AJ26">
    <cfRule type="expression" dxfId="351" priority="28" stopIfTrue="1">
      <formula>IF($B$22&gt;0,TRUE,FALSE)</formula>
    </cfRule>
    <cfRule type="expression" dxfId="350" priority="29" stopIfTrue="1">
      <formula>IF($B$26&lt;1,TRUE,FALSE)</formula>
    </cfRule>
    <cfRule type="expression" dxfId="349" priority="30" stopIfTrue="1">
      <formula>IF($B$26&lt;2,TRUE,FALSE)</formula>
    </cfRule>
  </conditionalFormatting>
  <conditionalFormatting sqref="AK26">
    <cfRule type="expression" dxfId="348" priority="31" stopIfTrue="1">
      <formula>IF($B$22&gt;0,TRUE,FALSE)</formula>
    </cfRule>
    <cfRule type="expression" dxfId="347" priority="32" stopIfTrue="1">
      <formula>IF($B$26&lt;1,TRUE,FALSE)</formula>
    </cfRule>
    <cfRule type="expression" dxfId="346" priority="33" stopIfTrue="1">
      <formula>IF($B$26&lt;2,TRUE,FALSE)</formula>
    </cfRule>
  </conditionalFormatting>
  <conditionalFormatting sqref="AL26">
    <cfRule type="expression" dxfId="345" priority="34" stopIfTrue="1">
      <formula>IF($B$22&gt;0,TRUE,FALSE)</formula>
    </cfRule>
    <cfRule type="expression" dxfId="344" priority="35" stopIfTrue="1">
      <formula>IF($B$26&lt;2,TRUE,FALSE)</formula>
    </cfRule>
  </conditionalFormatting>
  <conditionalFormatting sqref="AM25 AS25">
    <cfRule type="expression" dxfId="343" priority="36" stopIfTrue="1">
      <formula>IF($B$22&gt;0,TRUE,FALSE)</formula>
    </cfRule>
    <cfRule type="expression" dxfId="342" priority="37" stopIfTrue="1">
      <formula>IF($B$26=1,TRUE,FALSE)</formula>
    </cfRule>
  </conditionalFormatting>
  <conditionalFormatting sqref="AM26">
    <cfRule type="expression" dxfId="341" priority="38" stopIfTrue="1">
      <formula>IF($B$22&gt;0,TRUE,FALSE)</formula>
    </cfRule>
    <cfRule type="expression" dxfId="340" priority="39" stopIfTrue="1">
      <formula>IF($B$26=1,TRUE,FALSE)</formula>
    </cfRule>
  </conditionalFormatting>
  <conditionalFormatting sqref="AP27:AR52 AS34:AS52 AN26:AO52">
    <cfRule type="expression" dxfId="339" priority="40" stopIfTrue="1">
      <formula>IF($B$22&gt;0,TRUE,IF($B$26&lt;2,TRUE,FALSE))</formula>
    </cfRule>
  </conditionalFormatting>
  <conditionalFormatting sqref="AP26:AR26">
    <cfRule type="expression" dxfId="338" priority="41" stopIfTrue="1">
      <formula>IF($B$22&gt;0,TRUE,IF($B$26&lt;2,TRUE,FALSE))</formula>
    </cfRule>
    <cfRule type="expression" dxfId="337" priority="42" stopIfTrue="1">
      <formula>IF($B$26=2,TRUE,FALSE)</formula>
    </cfRule>
  </conditionalFormatting>
  <conditionalFormatting sqref="AS27:AS33">
    <cfRule type="expression" dxfId="336" priority="43" stopIfTrue="1">
      <formula>IF($B$22&gt;0,TRUE,IF($B$26&lt;2,TRUE,FALSE))</formula>
    </cfRule>
    <cfRule type="expression" dxfId="335" priority="44" stopIfTrue="1">
      <formula>IF($B$26=2,TRUE,FALSE)</formula>
    </cfRule>
  </conditionalFormatting>
  <conditionalFormatting sqref="AS26">
    <cfRule type="expression" dxfId="334" priority="45" stopIfTrue="1">
      <formula>IF($B$22&gt;0,TRUE,IF($B$26&lt;2,TRUE,FALSE))</formula>
    </cfRule>
    <cfRule type="expression" dxfId="333" priority="46" stopIfTrue="1">
      <formula>IF($B$26=2,TRUE,FALSE)</formula>
    </cfRule>
  </conditionalFormatting>
  <conditionalFormatting sqref="AX34:AY52 AX27:AX32 AT26:AT52 AU27:AW52">
    <cfRule type="expression" dxfId="332" priority="47" stopIfTrue="1">
      <formula>IF($B$22&gt;0,TRUE,IF($B$26&lt;3,TRUE,FALSE))</formula>
    </cfRule>
  </conditionalFormatting>
  <conditionalFormatting sqref="BA29 BF29:BF32 BI29:BI32 BK34 BJ27:BJ32 BG29 BA31:BA32 AZ29:AZ32 BC29:BC32 BD27:BD32 AZ34:BE52 BL29:BL32 BO29:BO32 BM31:BM32 BP27:BP32 BM29 BQ34 BG31:BG32 BR29:BR32 BU29:BU32 BS31:BS32 BV27:BV32 BS29 BX29:BX32 CA29:CA32 BY31:BY32 CB27:CB32 BY29 CD29:CD32 CG29:CG32 CE31:CE32 CH27:CH32 CE29 CJ29:CJ32 CM29:CM32 CK31:CK32 CN27:CN32 CK29">
    <cfRule type="expression" dxfId="331" priority="48" stopIfTrue="1">
      <formula>IF($B$22&gt;0,TRUE,IF($B$26&lt;4,TRUE,FALSE))</formula>
    </cfRule>
  </conditionalFormatting>
  <conditionalFormatting sqref="BF34:BJ52 BK35:BK52">
    <cfRule type="expression" dxfId="330" priority="49" stopIfTrue="1">
      <formula>IF($B$22&gt;0,TRUE,IF($B$26&lt;5,TRUE,FALSE))</formula>
    </cfRule>
  </conditionalFormatting>
  <conditionalFormatting sqref="BL34:BP52 BQ35:BQ52">
    <cfRule type="expression" dxfId="329" priority="50" stopIfTrue="1">
      <formula>IF($B$22&gt;0,TRUE,IF($B$26&lt;6,TRUE,FALSE))</formula>
    </cfRule>
  </conditionalFormatting>
  <conditionalFormatting sqref="BR34:BW52">
    <cfRule type="expression" dxfId="328" priority="51" stopIfTrue="1">
      <formula>IF($B$22&gt;0,TRUE,IF($B$26&lt;7,TRUE,FALSE))</formula>
    </cfRule>
  </conditionalFormatting>
  <conditionalFormatting sqref="BX34:CC52">
    <cfRule type="expression" dxfId="327" priority="52" stopIfTrue="1">
      <formula>IF($B$22&gt;0,TRUE,IF($B$26&lt;8,TRUE,FALSE))</formula>
    </cfRule>
  </conditionalFormatting>
  <conditionalFormatting sqref="CD34:CI52">
    <cfRule type="expression" dxfId="326" priority="53" stopIfTrue="1">
      <formula>IF($B$22&gt;0,TRUE,IF($B$26&lt;9,TRUE,FALSE))</formula>
    </cfRule>
  </conditionalFormatting>
  <conditionalFormatting sqref="CJ34:CO52">
    <cfRule type="expression" dxfId="325" priority="54" stopIfTrue="1">
      <formula>IF($B$22&gt;0,TRUE,IF($B$26&lt;10,TRUE,FALSE))</formula>
    </cfRule>
  </conditionalFormatting>
  <conditionalFormatting sqref="AE64:AF81 AG81 AM91:AM106 AE82:AI106 AJ82:AL82 AJ84:AL106">
    <cfRule type="expression" dxfId="324" priority="55" stopIfTrue="1">
      <formula>IF($B$22&gt;0,TRUE,IF($B$26&lt;21,TRUE,FALSE))</formula>
    </cfRule>
  </conditionalFormatting>
  <conditionalFormatting sqref="AE55:AF55 AM64:AM81 AM54 AJ57:AL81 AJ54:AL55 AH54:AI81 AG54:AG80">
    <cfRule type="expression" dxfId="323" priority="56" stopIfTrue="1">
      <formula>IF($B$22&gt;0,TRUE,IF($B$26&lt;11,TRUE,FALSE))</formula>
    </cfRule>
  </conditionalFormatting>
  <conditionalFormatting sqref="AF56:AF62">
    <cfRule type="expression" dxfId="322" priority="57" stopIfTrue="1">
      <formula>IF($B$22&gt;0,TRUE,IF($B$26&lt;11,TRUE,FALSE))</formula>
    </cfRule>
    <cfRule type="expression" dxfId="321" priority="58" stopIfTrue="1">
      <formula>IF($B$26&lt;21,TRUE,FALSE)</formula>
    </cfRule>
  </conditionalFormatting>
  <conditionalFormatting sqref="AE56:AE62">
    <cfRule type="expression" dxfId="320" priority="59" stopIfTrue="1">
      <formula>IF($B$22&gt;0,TRUE,IF($B$26&lt;11,TRUE,FALSE))</formula>
    </cfRule>
    <cfRule type="expression" dxfId="319" priority="60" stopIfTrue="1">
      <formula>IF($B$26&lt;21,TRUE,FALSE)</formula>
    </cfRule>
  </conditionalFormatting>
  <conditionalFormatting sqref="AE63">
    <cfRule type="expression" dxfId="318" priority="61" stopIfTrue="1">
      <formula>IF($B$22&gt;0,TRUE,IF($B$26&lt;11,TRUE,FALSE))</formula>
    </cfRule>
    <cfRule type="expression" dxfId="317" priority="62" stopIfTrue="1">
      <formula>IF($B$26&lt;21,TRUE,FALSE)</formula>
    </cfRule>
  </conditionalFormatting>
  <conditionalFormatting sqref="AF63">
    <cfRule type="expression" dxfId="316" priority="63" stopIfTrue="1">
      <formula>IF($B$22&gt;0,TRUE,IF($B$26&lt;11,TRUE,FALSE))</formula>
    </cfRule>
    <cfRule type="expression" dxfId="315" priority="64" stopIfTrue="1">
      <formula>IF($B$26&lt;21,TRUE,FALSE)</formula>
    </cfRule>
  </conditionalFormatting>
  <conditionalFormatting sqref="AS64:AS81 AS54 AN54:AO81 AP54:AR55 AP57:AR81">
    <cfRule type="expression" dxfId="314" priority="65" stopIfTrue="1">
      <formula>IF($B$22&gt;0,TRUE,IF($B$26&lt;12,TRUE,FALSE))</formula>
    </cfRule>
  </conditionalFormatting>
  <conditionalFormatting sqref="AM55 AM57:AM63">
    <cfRule type="expression" dxfId="313" priority="66" stopIfTrue="1">
      <formula>IF($B$22&gt;0,TRUE,IF($B$26&lt;11,TRUE,FALSE))</formula>
    </cfRule>
    <cfRule type="expression" dxfId="312" priority="67" stopIfTrue="1">
      <formula>IF($B$26=11,TRUE,FALSE)</formula>
    </cfRule>
  </conditionalFormatting>
  <conditionalFormatting sqref="AM56">
    <cfRule type="expression" dxfId="311" priority="68" stopIfTrue="1">
      <formula>IF($B$22&gt;0,TRUE,IF($B$26&lt;11,TRUE,FALSE))</formula>
    </cfRule>
    <cfRule type="expression" dxfId="310" priority="69" stopIfTrue="1">
      <formula>IF($B$26=11,TRUE,FALSE)</formula>
    </cfRule>
  </conditionalFormatting>
  <conditionalFormatting sqref="AJ56:AL56">
    <cfRule type="expression" dxfId="309" priority="70" stopIfTrue="1">
      <formula>IF($B$22&gt;0,TRUE,IF($B$26&lt;11,TRUE,FALSE))</formula>
    </cfRule>
    <cfRule type="expression" dxfId="308" priority="71" stopIfTrue="1">
      <formula>IF($B$26=11,TRUE,FALSE)</formula>
    </cfRule>
  </conditionalFormatting>
  <conditionalFormatting sqref="AY64:AY81 AY54 AT54:AU81 AV54:AX55 AV57:AX81">
    <cfRule type="expression" dxfId="307" priority="72" stopIfTrue="1">
      <formula>IF($B$22&gt;0,TRUE,IF($B$26&lt;13,TRUE,FALSE))</formula>
    </cfRule>
  </conditionalFormatting>
  <conditionalFormatting sqref="AS55 AS57:AS63">
    <cfRule type="expression" dxfId="306" priority="73" stopIfTrue="1">
      <formula>IF($B$22&gt;0,TRUE,IF($B$26&lt;12,TRUE,FALSE))</formula>
    </cfRule>
    <cfRule type="expression" dxfId="305" priority="74" stopIfTrue="1">
      <formula>IF($B$26=12,TRUE,FALSE)</formula>
    </cfRule>
  </conditionalFormatting>
  <conditionalFormatting sqref="AS56">
    <cfRule type="expression" dxfId="304" priority="75" stopIfTrue="1">
      <formula>IF($B$22&gt;0,TRUE,IF($B$26&lt;12,TRUE,FALSE))</formula>
    </cfRule>
    <cfRule type="expression" dxfId="303" priority="76" stopIfTrue="1">
      <formula>IF($B$26=12,TRUE,FALSE)</formula>
    </cfRule>
  </conditionalFormatting>
  <conditionalFormatting sqref="AP56:AR56">
    <cfRule type="expression" dxfId="302" priority="77" stopIfTrue="1">
      <formula>IF($B$22&gt;0,TRUE,IF($B$26&lt;12,TRUE,FALSE))</formula>
    </cfRule>
    <cfRule type="expression" dxfId="301" priority="78" stopIfTrue="1">
      <formula>IF($B$26=12,TRUE,FALSE)</formula>
    </cfRule>
  </conditionalFormatting>
  <conditionalFormatting sqref="BE64:BE81 BE54 AZ54:BA81 BB54:BD55 BB57:BD81">
    <cfRule type="expression" dxfId="300" priority="79" stopIfTrue="1">
      <formula>IF($B$22&gt;0,TRUE,IF($B$26&lt;14,TRUE,FALSE))</formula>
    </cfRule>
  </conditionalFormatting>
  <conditionalFormatting sqref="BK64:BK81 BK54 BF54:BG81 BH54:BJ55 BH57:BJ81">
    <cfRule type="expression" dxfId="299" priority="80" stopIfTrue="1">
      <formula>IF($B$22&gt;0,TRUE,IF($B$26&lt;15,TRUE,FALSE))</formula>
    </cfRule>
  </conditionalFormatting>
  <conditionalFormatting sqref="AY55 AY57:AY63">
    <cfRule type="expression" dxfId="298" priority="81" stopIfTrue="1">
      <formula>IF($B$22&gt;0,TRUE,IF($B$26&lt;13,TRUE,FALSE))</formula>
    </cfRule>
    <cfRule type="expression" dxfId="297" priority="82" stopIfTrue="1">
      <formula>IF($B$26=13,TRUE,FALSE)</formula>
    </cfRule>
  </conditionalFormatting>
  <conditionalFormatting sqref="AY56">
    <cfRule type="expression" dxfId="296" priority="83" stopIfTrue="1">
      <formula>IF($B$22&gt;0,TRUE,IF($B$26&lt;13,TRUE,FALSE))</formula>
    </cfRule>
    <cfRule type="expression" dxfId="295" priority="84" stopIfTrue="1">
      <formula>IF($B$26=13,TRUE,FALSE)</formula>
    </cfRule>
  </conditionalFormatting>
  <conditionalFormatting sqref="AV56:AX56">
    <cfRule type="expression" dxfId="294" priority="85" stopIfTrue="1">
      <formula>IF($B$22&gt;0,TRUE,IF($B$26&lt;13,TRUE,FALSE))</formula>
    </cfRule>
    <cfRule type="expression" dxfId="293" priority="86" stopIfTrue="1">
      <formula>IF($B$26=13,TRUE,FALSE)</formula>
    </cfRule>
  </conditionalFormatting>
  <conditionalFormatting sqref="BE55 BE57:BE63">
    <cfRule type="expression" dxfId="292" priority="87" stopIfTrue="1">
      <formula>IF($B$22&gt;0,TRUE,IF($B$26&lt;14,TRUE,FALSE))</formula>
    </cfRule>
    <cfRule type="expression" dxfId="291" priority="88" stopIfTrue="1">
      <formula>IF($B$26=14,TRUE,FALSE)</formula>
    </cfRule>
  </conditionalFormatting>
  <conditionalFormatting sqref="BE56">
    <cfRule type="expression" dxfId="290" priority="89" stopIfTrue="1">
      <formula>IF($B$22&gt;0,TRUE,IF($B$26&lt;14,TRUE,FALSE))</formula>
    </cfRule>
    <cfRule type="expression" dxfId="289" priority="90" stopIfTrue="1">
      <formula>IF($B$26=14,TRUE,FALSE)</formula>
    </cfRule>
  </conditionalFormatting>
  <conditionalFormatting sqref="BB56:BD56">
    <cfRule type="expression" dxfId="288" priority="91" stopIfTrue="1">
      <formula>IF($B$22&gt;0,TRUE,IF($B$26&lt;14,TRUE,FALSE))</formula>
    </cfRule>
    <cfRule type="expression" dxfId="287" priority="92" stopIfTrue="1">
      <formula>IF($B$26=14,TRUE,FALSE)</formula>
    </cfRule>
  </conditionalFormatting>
  <conditionalFormatting sqref="BW64:BW81 BW54 BR54:BS81 BT54:BV55 BT57:BV81">
    <cfRule type="expression" dxfId="286" priority="93" stopIfTrue="1">
      <formula>IF($B$22&gt;0,TRUE,IF($B$26&lt;17,TRUE,FALSE))</formula>
    </cfRule>
  </conditionalFormatting>
  <conditionalFormatting sqref="BQ64:BQ81 BQ54 BL54:BM81 BN54:BP55 BN57:BP81">
    <cfRule type="expression" dxfId="285" priority="94" stopIfTrue="1">
      <formula>IF($B$22&gt;0,TRUE,IF($B$26&lt;16,TRUE,FALSE))</formula>
    </cfRule>
  </conditionalFormatting>
  <conditionalFormatting sqref="BK55 BK57:BK63">
    <cfRule type="expression" dxfId="284" priority="95" stopIfTrue="1">
      <formula>IF($B$22&gt;0,TRUE,IF($B$26&lt;15,TRUE,FALSE))</formula>
    </cfRule>
    <cfRule type="expression" dxfId="283" priority="96" stopIfTrue="1">
      <formula>IF($B$26=15,TRUE,FALSE)</formula>
    </cfRule>
  </conditionalFormatting>
  <conditionalFormatting sqref="BK56">
    <cfRule type="expression" dxfId="282" priority="97" stopIfTrue="1">
      <formula>IF($B$22&gt;0,TRUE,IF($B$26&lt;15,TRUE,FALSE))</formula>
    </cfRule>
    <cfRule type="expression" dxfId="281" priority="98" stopIfTrue="1">
      <formula>IF($B$26=15,TRUE,FALSE)</formula>
    </cfRule>
  </conditionalFormatting>
  <conditionalFormatting sqref="BH56:BJ56">
    <cfRule type="expression" dxfId="280" priority="99" stopIfTrue="1">
      <formula>IF($B$22&gt;0,TRUE,IF($B$26&lt;15,TRUE,FALSE))</formula>
    </cfRule>
    <cfRule type="expression" dxfId="279" priority="100" stopIfTrue="1">
      <formula>IF($B$26=15,TRUE,FALSE)</formula>
    </cfRule>
  </conditionalFormatting>
  <conditionalFormatting sqref="BQ55 BQ57:BQ63">
    <cfRule type="expression" dxfId="278" priority="101" stopIfTrue="1">
      <formula>IF($B$22&gt;0,TRUE,IF($B$26&lt;16,TRUE,FALSE))</formula>
    </cfRule>
    <cfRule type="expression" dxfId="277" priority="102" stopIfTrue="1">
      <formula>IF($B$26=16,TRUE,FALSE)</formula>
    </cfRule>
  </conditionalFormatting>
  <conditionalFormatting sqref="BQ56">
    <cfRule type="expression" dxfId="276" priority="103" stopIfTrue="1">
      <formula>IF($B$22&gt;0,TRUE,IF($B$26&lt;16,TRUE,FALSE))</formula>
    </cfRule>
    <cfRule type="expression" dxfId="275" priority="104" stopIfTrue="1">
      <formula>IF($B$26=16,TRUE,FALSE)</formula>
    </cfRule>
  </conditionalFormatting>
  <conditionalFormatting sqref="BN56:BP56">
    <cfRule type="expression" dxfId="274" priority="105" stopIfTrue="1">
      <formula>IF($B$22&gt;0,TRUE,IF($B$26&lt;16,TRUE,FALSE))</formula>
    </cfRule>
    <cfRule type="expression" dxfId="273" priority="106" stopIfTrue="1">
      <formula>IF($B$26=16,TRUE,FALSE)</formula>
    </cfRule>
  </conditionalFormatting>
  <conditionalFormatting sqref="CC64:CC81 CC54 BX54:BY81 BZ54:CB55 BZ57:CB81">
    <cfRule type="expression" dxfId="272" priority="107" stopIfTrue="1">
      <formula>IF($B$22&gt;0,TRUE,IF($B$26&lt;18,TRUE,FALSE))</formula>
    </cfRule>
  </conditionalFormatting>
  <conditionalFormatting sqref="BW55 BW57:BW63">
    <cfRule type="expression" dxfId="271" priority="108" stopIfTrue="1">
      <formula>IF($B$22&gt;0,TRUE,IF($B$26&lt;17,TRUE,FALSE))</formula>
    </cfRule>
    <cfRule type="expression" dxfId="270" priority="109" stopIfTrue="1">
      <formula>IF($B$26=17,TRUE,FALSE)</formula>
    </cfRule>
  </conditionalFormatting>
  <conditionalFormatting sqref="BW56">
    <cfRule type="expression" dxfId="269" priority="110" stopIfTrue="1">
      <formula>IF($B$22&gt;0,TRUE,IF($B$26&lt;17,TRUE,FALSE))</formula>
    </cfRule>
    <cfRule type="expression" dxfId="268" priority="111" stopIfTrue="1">
      <formula>IF($B$26=17,TRUE,FALSE)</formula>
    </cfRule>
  </conditionalFormatting>
  <conditionalFormatting sqref="BT56:BV56">
    <cfRule type="expression" dxfId="267" priority="112" stopIfTrue="1">
      <formula>IF($B$22&gt;0,TRUE,IF($B$26&lt;17,TRUE,FALSE))</formula>
    </cfRule>
    <cfRule type="expression" dxfId="266" priority="113" stopIfTrue="1">
      <formula>IF($B$26=17,TRUE,FALSE)</formula>
    </cfRule>
  </conditionalFormatting>
  <conditionalFormatting sqref="CI64:CI81 CI54 CD54:CE81 CF54:CH55 CF57:CH81">
    <cfRule type="expression" dxfId="265" priority="114" stopIfTrue="1">
      <formula>IF($B$22&gt;0,TRUE,IF($B$26&lt;19,TRUE,FALSE))</formula>
    </cfRule>
  </conditionalFormatting>
  <conditionalFormatting sqref="CC55 CC57:CC63">
    <cfRule type="expression" dxfId="264" priority="115" stopIfTrue="1">
      <formula>IF($B$22&gt;0,TRUE,IF($B$26&lt;18,TRUE,FALSE))</formula>
    </cfRule>
    <cfRule type="expression" dxfId="263" priority="116" stopIfTrue="1">
      <formula>IF($B$26=18,TRUE,FALSE)</formula>
    </cfRule>
  </conditionalFormatting>
  <conditionalFormatting sqref="CC56">
    <cfRule type="expression" dxfId="262" priority="117" stopIfTrue="1">
      <formula>IF($B$22&gt;0,TRUE,IF($B$26&lt;18,TRUE,FALSE))</formula>
    </cfRule>
    <cfRule type="expression" dxfId="261" priority="118" stopIfTrue="1">
      <formula>IF($B$26=18,TRUE,FALSE)</formula>
    </cfRule>
  </conditionalFormatting>
  <conditionalFormatting sqref="BZ56:CB56">
    <cfRule type="expression" dxfId="260" priority="119" stopIfTrue="1">
      <formula>IF($B$22&gt;0,TRUE,IF($B$26&lt;18,TRUE,FALSE))</formula>
    </cfRule>
    <cfRule type="expression" dxfId="259" priority="120" stopIfTrue="1">
      <formula>IF($B$26=18,TRUE,FALSE)</formula>
    </cfRule>
  </conditionalFormatting>
  <conditionalFormatting sqref="CJ54:CO81">
    <cfRule type="expression" dxfId="258" priority="121" stopIfTrue="1">
      <formula>IF($B$22&gt;0,TRUE,IF($B$26&lt;20,TRUE,FALSE))</formula>
    </cfRule>
  </conditionalFormatting>
  <conditionalFormatting sqref="CI55 CI57:CI63">
    <cfRule type="expression" dxfId="257" priority="122" stopIfTrue="1">
      <formula>IF($B$22&gt;0,TRUE,IF($B$26&lt;19,TRUE,FALSE))</formula>
    </cfRule>
    <cfRule type="expression" dxfId="256" priority="123" stopIfTrue="1">
      <formula>IF($B$26=19,TRUE,FALSE)</formula>
    </cfRule>
  </conditionalFormatting>
  <conditionalFormatting sqref="CI56">
    <cfRule type="expression" dxfId="255" priority="124" stopIfTrue="1">
      <formula>IF($B$22&gt;0,TRUE,IF($B$26&lt;19,TRUE,FALSE))</formula>
    </cfRule>
    <cfRule type="expression" dxfId="254" priority="125" stopIfTrue="1">
      <formula>IF($B$26=19,TRUE,FALSE)</formula>
    </cfRule>
  </conditionalFormatting>
  <conditionalFormatting sqref="CF56:CH56">
    <cfRule type="expression" dxfId="253" priority="126" stopIfTrue="1">
      <formula>IF($B$22&gt;0,TRUE,IF($B$26&lt;19,TRUE,FALSE))</formula>
    </cfRule>
    <cfRule type="expression" dxfId="252" priority="127" stopIfTrue="1">
      <formula>IF($B$26=19,TRUE,FALSE)</formula>
    </cfRule>
  </conditionalFormatting>
  <conditionalFormatting sqref="AS91:AS106 AN82:AO106 AP82:AR82 AP84:AR106">
    <cfRule type="expression" dxfId="251" priority="128" stopIfTrue="1">
      <formula>IF($B$22&gt;0,TRUE,IF($B$26&lt;22,TRUE,FALSE))</formula>
    </cfRule>
  </conditionalFormatting>
  <conditionalFormatting sqref="AY91:AY106 AT82:AU106 AV82:AX82 AV84:AX106">
    <cfRule type="expression" dxfId="250" priority="129" stopIfTrue="1">
      <formula>IF($B$22&gt;0,TRUE,IF($B$26&lt;23,TRUE,FALSE))</formula>
    </cfRule>
  </conditionalFormatting>
  <conditionalFormatting sqref="AM82 AM84:AM90">
    <cfRule type="expression" dxfId="249" priority="130" stopIfTrue="1">
      <formula>IF($B$22&gt;0,TRUE,IF($B$26&lt;21,TRUE,FALSE))</formula>
    </cfRule>
    <cfRule type="expression" dxfId="248" priority="131" stopIfTrue="1">
      <formula>IF($B$26=21,TRUE,FALSE)</formula>
    </cfRule>
  </conditionalFormatting>
  <conditionalFormatting sqref="AM83">
    <cfRule type="expression" dxfId="247" priority="132" stopIfTrue="1">
      <formula>IF($B$22&gt;0,TRUE,IF($B$26&lt;21,TRUE,FALSE))</formula>
    </cfRule>
    <cfRule type="expression" dxfId="246" priority="133" stopIfTrue="1">
      <formula>IF($B$26=21,TRUE,FALSE)</formula>
    </cfRule>
  </conditionalFormatting>
  <conditionalFormatting sqref="AJ83:AL83">
    <cfRule type="expression" dxfId="245" priority="134" stopIfTrue="1">
      <formula>IF($B$22&gt;0,TRUE,IF($B$26&lt;21,TRUE,FALSE))</formula>
    </cfRule>
    <cfRule type="expression" dxfId="244" priority="135" stopIfTrue="1">
      <formula>IF($B$26=21,TRUE,FALSE)</formula>
    </cfRule>
  </conditionalFormatting>
  <conditionalFormatting sqref="AS82 AS84:AS90">
    <cfRule type="expression" dxfId="243" priority="136" stopIfTrue="1">
      <formula>IF($B$22&gt;0,TRUE,IF($B$26&lt;22,TRUE,FALSE))</formula>
    </cfRule>
    <cfRule type="expression" dxfId="242" priority="137" stopIfTrue="1">
      <formula>IF($B$26=22,TRUE,FALSE)</formula>
    </cfRule>
  </conditionalFormatting>
  <conditionalFormatting sqref="AS83">
    <cfRule type="expression" dxfId="241" priority="138" stopIfTrue="1">
      <formula>IF($B$22&gt;0,TRUE,IF($B$26&lt;22,TRUE,FALSE))</formula>
    </cfRule>
    <cfRule type="expression" dxfId="240" priority="139" stopIfTrue="1">
      <formula>IF($B$26=22,TRUE,FALSE)</formula>
    </cfRule>
  </conditionalFormatting>
  <conditionalFormatting sqref="AP83:AR83">
    <cfRule type="expression" dxfId="239" priority="140" stopIfTrue="1">
      <formula>IF($B$22&gt;0,TRUE,IF($B$26&lt;22,TRUE,FALSE))</formula>
    </cfRule>
    <cfRule type="expression" dxfId="238" priority="141" stopIfTrue="1">
      <formula>IF($B$26=22,TRUE,FALSE)</formula>
    </cfRule>
  </conditionalFormatting>
  <conditionalFormatting sqref="BE91:BE106 AZ82:BA106 BB82:BD82 BB84:BD106">
    <cfRule type="expression" dxfId="237" priority="142" stopIfTrue="1">
      <formula>IF($B$22&gt;0,TRUE,IF($B$26&lt;24,TRUE,FALSE))</formula>
    </cfRule>
  </conditionalFormatting>
  <conditionalFormatting sqref="BK91:BK106 BF82:BG106 BH82:BJ82 BH84:BJ106">
    <cfRule type="expression" dxfId="236" priority="143" stopIfTrue="1">
      <formula>IF($B$22&gt;0,TRUE,IF($B$26&lt;25,TRUE,FALSE))</formula>
    </cfRule>
  </conditionalFormatting>
  <conditionalFormatting sqref="AY82 AY84:AY90">
    <cfRule type="expression" dxfId="235" priority="144" stopIfTrue="1">
      <formula>IF($B$22&gt;0,TRUE,IF($B$26&lt;23,TRUE,FALSE))</formula>
    </cfRule>
    <cfRule type="expression" dxfId="234" priority="145" stopIfTrue="1">
      <formula>IF($B$26=23,TRUE,FALSE)</formula>
    </cfRule>
  </conditionalFormatting>
  <conditionalFormatting sqref="AY83">
    <cfRule type="expression" dxfId="233" priority="146" stopIfTrue="1">
      <formula>IF($B$22&gt;0,TRUE,IF($B$26&lt;23,TRUE,FALSE))</formula>
    </cfRule>
    <cfRule type="expression" dxfId="232" priority="147" stopIfTrue="1">
      <formula>IF($B$26=23,TRUE,FALSE)</formula>
    </cfRule>
  </conditionalFormatting>
  <conditionalFormatting sqref="AV83:AX83">
    <cfRule type="expression" dxfId="231" priority="148" stopIfTrue="1">
      <formula>IF($B$22&gt;0,TRUE,IF($B$26&lt;23,TRUE,FALSE))</formula>
    </cfRule>
    <cfRule type="expression" dxfId="230" priority="149" stopIfTrue="1">
      <formula>IF($B$26=23,TRUE,FALSE)</formula>
    </cfRule>
  </conditionalFormatting>
  <conditionalFormatting sqref="BE82 BE84:BE90">
    <cfRule type="expression" dxfId="229" priority="150" stopIfTrue="1">
      <formula>IF($B$22&gt;0,TRUE,IF($B$26&lt;24,TRUE,FALSE))</formula>
    </cfRule>
    <cfRule type="expression" dxfId="228" priority="151" stopIfTrue="1">
      <formula>IF($B$26=24,TRUE,FALSE)</formula>
    </cfRule>
  </conditionalFormatting>
  <conditionalFormatting sqref="BE83">
    <cfRule type="expression" dxfId="227" priority="152" stopIfTrue="1">
      <formula>IF($B$22&gt;0,TRUE,IF($B$26&lt;24,TRUE,FALSE))</formula>
    </cfRule>
    <cfRule type="expression" dxfId="226" priority="153" stopIfTrue="1">
      <formula>IF($B$26=24,TRUE,FALSE)</formula>
    </cfRule>
  </conditionalFormatting>
  <conditionalFormatting sqref="BB83:BD83">
    <cfRule type="expression" dxfId="225" priority="154" stopIfTrue="1">
      <formula>IF($B$22&gt;0,TRUE,IF($B$26&lt;24,TRUE,FALSE))</formula>
    </cfRule>
    <cfRule type="expression" dxfId="224" priority="155" stopIfTrue="1">
      <formula>IF($B$26=24,TRUE,FALSE)</formula>
    </cfRule>
  </conditionalFormatting>
  <conditionalFormatting sqref="BQ91:BQ106 BL82:BM106 BN82:BP82 BN84:BP106">
    <cfRule type="expression" dxfId="223" priority="156" stopIfTrue="1">
      <formula>IF($B$22&gt;0,TRUE,IF($B$26&lt;26,TRUE,FALSE))</formula>
    </cfRule>
  </conditionalFormatting>
  <conditionalFormatting sqref="BW91:BW106 BR82:BS106 BT82:BV82 BT84:BV106">
    <cfRule type="expression" dxfId="222" priority="157" stopIfTrue="1">
      <formula>IF($B$22&gt;0,TRUE,IF($B$26&lt;27,TRUE,FALSE))</formula>
    </cfRule>
  </conditionalFormatting>
  <conditionalFormatting sqref="BK82 BK84:BK90">
    <cfRule type="expression" dxfId="221" priority="158" stopIfTrue="1">
      <formula>IF($B$22&gt;0,TRUE,IF($B$26&lt;25,TRUE,FALSE))</formula>
    </cfRule>
    <cfRule type="expression" dxfId="220" priority="159" stopIfTrue="1">
      <formula>IF($B$26=25,TRUE,FALSE)</formula>
    </cfRule>
  </conditionalFormatting>
  <conditionalFormatting sqref="BK83">
    <cfRule type="expression" dxfId="219" priority="160" stopIfTrue="1">
      <formula>IF($B$22&gt;0,TRUE,IF($B$26&lt;25,TRUE,FALSE))</formula>
    </cfRule>
    <cfRule type="expression" dxfId="218" priority="161" stopIfTrue="1">
      <formula>IF($B$26=25,TRUE,FALSE)</formula>
    </cfRule>
  </conditionalFormatting>
  <conditionalFormatting sqref="BH83:BJ83">
    <cfRule type="expression" dxfId="217" priority="162" stopIfTrue="1">
      <formula>IF($B$22&gt;0,TRUE,IF($B$26&lt;25,TRUE,FALSE))</formula>
    </cfRule>
    <cfRule type="expression" dxfId="216" priority="163" stopIfTrue="1">
      <formula>IF($B$26=25,TRUE,FALSE)</formula>
    </cfRule>
  </conditionalFormatting>
  <conditionalFormatting sqref="BQ82 BQ84:BQ90">
    <cfRule type="expression" dxfId="215" priority="164" stopIfTrue="1">
      <formula>IF($B$22&gt;0,TRUE,IF($B$26&lt;26,TRUE,FALSE))</formula>
    </cfRule>
    <cfRule type="expression" dxfId="214" priority="165" stopIfTrue="1">
      <formula>IF($B$26=26,TRUE,FALSE)</formula>
    </cfRule>
  </conditionalFormatting>
  <conditionalFormatting sqref="BQ83">
    <cfRule type="expression" dxfId="213" priority="166" stopIfTrue="1">
      <formula>IF($B$22&gt;0,TRUE,IF($B$26&lt;26,TRUE,FALSE))</formula>
    </cfRule>
    <cfRule type="expression" dxfId="212" priority="167" stopIfTrue="1">
      <formula>IF($B$26=26,TRUE,FALSE)</formula>
    </cfRule>
  </conditionalFormatting>
  <conditionalFormatting sqref="BN83:BP83">
    <cfRule type="expression" dxfId="211" priority="168" stopIfTrue="1">
      <formula>IF($B$22&gt;0,TRUE,IF($B$26&lt;26,TRUE,FALSE))</formula>
    </cfRule>
    <cfRule type="expression" dxfId="210" priority="169" stopIfTrue="1">
      <formula>IF($B$26=26,TRUE,FALSE)</formula>
    </cfRule>
  </conditionalFormatting>
  <conditionalFormatting sqref="CC91:CC106 BX82:BY106 BZ82:CB82 BZ84:CB106">
    <cfRule type="expression" dxfId="209" priority="170" stopIfTrue="1">
      <formula>IF($B$22&gt;0,TRUE,IF($B$26&lt;28,TRUE,FALSE))</formula>
    </cfRule>
  </conditionalFormatting>
  <conditionalFormatting sqref="CI91:CI106 CD82:CE106 CF82:CH82 CF84:CH106">
    <cfRule type="expression" dxfId="208" priority="171" stopIfTrue="1">
      <formula>IF($B$22&gt;0,TRUE,IF($B$26&lt;29,TRUE,FALSE))</formula>
    </cfRule>
  </conditionalFormatting>
  <conditionalFormatting sqref="CJ82:CO106">
    <cfRule type="expression" dxfId="207" priority="172" stopIfTrue="1">
      <formula>IF($B$22&gt;0,TRUE,IF($B$26&lt;30,TRUE,FALSE))</formula>
    </cfRule>
  </conditionalFormatting>
  <conditionalFormatting sqref="BW82 BW84:BW90">
    <cfRule type="expression" dxfId="206" priority="173" stopIfTrue="1">
      <formula>IF($B$22&gt;0,TRUE,IF($B$26&lt;27,TRUE,FALSE))</formula>
    </cfRule>
    <cfRule type="expression" dxfId="205" priority="174" stopIfTrue="1">
      <formula>IF($B$26=27,TRUE,FALSE)</formula>
    </cfRule>
  </conditionalFormatting>
  <conditionalFormatting sqref="BW83">
    <cfRule type="expression" dxfId="204" priority="175" stopIfTrue="1">
      <formula>IF($B$22&gt;0,TRUE,IF($B$26&lt;27,TRUE,FALSE))</formula>
    </cfRule>
    <cfRule type="expression" dxfId="203" priority="176" stopIfTrue="1">
      <formula>IF($B$26=27,TRUE,FALSE)</formula>
    </cfRule>
  </conditionalFormatting>
  <conditionalFormatting sqref="BT83:BV83">
    <cfRule type="expression" dxfId="202" priority="177" stopIfTrue="1">
      <formula>IF($B$22&gt;0,TRUE,IF($B$26&lt;27,TRUE,FALSE))</formula>
    </cfRule>
    <cfRule type="expression" dxfId="201" priority="178" stopIfTrue="1">
      <formula>IF($B$26=27,TRUE,FALSE)</formula>
    </cfRule>
  </conditionalFormatting>
  <conditionalFormatting sqref="CC82 CC84:CC90">
    <cfRule type="expression" dxfId="200" priority="179" stopIfTrue="1">
      <formula>IF($B$22&gt;0,TRUE,IF($B$26&lt;28,TRUE,FALSE))</formula>
    </cfRule>
    <cfRule type="expression" dxfId="199" priority="180" stopIfTrue="1">
      <formula>IF($B$26=28,TRUE,FALSE)</formula>
    </cfRule>
  </conditionalFormatting>
  <conditionalFormatting sqref="CC83">
    <cfRule type="expression" dxfId="198" priority="181" stopIfTrue="1">
      <formula>IF($B$22&gt;0,TRUE,IF($B$26&lt;28,TRUE,FALSE))</formula>
    </cfRule>
    <cfRule type="expression" dxfId="197" priority="182" stopIfTrue="1">
      <formula>IF($B$26=28,TRUE,FALSE)</formula>
    </cfRule>
  </conditionalFormatting>
  <conditionalFormatting sqref="BZ83:CB83">
    <cfRule type="expression" dxfId="196" priority="183" stopIfTrue="1">
      <formula>IF($B$22&gt;0,TRUE,IF($B$26&lt;28,TRUE,FALSE))</formula>
    </cfRule>
    <cfRule type="expression" dxfId="195" priority="184" stopIfTrue="1">
      <formula>IF($B$26=28,TRUE,FALSE)</formula>
    </cfRule>
  </conditionalFormatting>
  <conditionalFormatting sqref="CI82 CI84:CI90">
    <cfRule type="expression" dxfId="194" priority="185" stopIfTrue="1">
      <formula>IF($B$22&gt;0,TRUE,IF($B$26&lt;29,TRUE,FALSE))</formula>
    </cfRule>
    <cfRule type="expression" dxfId="193" priority="186" stopIfTrue="1">
      <formula>IF($B$26=29,TRUE,FALSE)</formula>
    </cfRule>
  </conditionalFormatting>
  <conditionalFormatting sqref="CI83">
    <cfRule type="expression" dxfId="192" priority="187" stopIfTrue="1">
      <formula>IF($B$22&gt;0,TRUE,IF($B$26&lt;29,TRUE,FALSE))</formula>
    </cfRule>
    <cfRule type="expression" dxfId="191" priority="188" stopIfTrue="1">
      <formula>IF($B$26=29,TRUE,FALSE)</formula>
    </cfRule>
  </conditionalFormatting>
  <conditionalFormatting sqref="CF83:CH83">
    <cfRule type="expression" dxfId="190" priority="189" stopIfTrue="1">
      <formula>IF($B$22&gt;0,TRUE,IF($B$26&lt;29,TRUE,FALSE))</formula>
    </cfRule>
    <cfRule type="expression" dxfId="189" priority="190" stopIfTrue="1">
      <formula>IF($B$26=29,TRUE,FALSE)</formula>
    </cfRule>
  </conditionalFormatting>
  <conditionalFormatting sqref="U33:V43">
    <cfRule type="expression" dxfId="188" priority="191" stopIfTrue="1">
      <formula>IF($B$22&gt;0,TRUE,FALSE)</formula>
    </cfRule>
    <cfRule type="expression" dxfId="187" priority="192" stopIfTrue="1">
      <formula>IF($B$27="NO",TRUE,FALSE)</formula>
    </cfRule>
  </conditionalFormatting>
  <conditionalFormatting sqref="L32:M40">
    <cfRule type="expression" dxfId="186" priority="193" stopIfTrue="1">
      <formula>IF($B$22&gt;0,TRUE,FALSE)</formula>
    </cfRule>
    <cfRule type="expression" dxfId="185" priority="194" stopIfTrue="1">
      <formula>IF($B$28="OVERHEAD",TRUE,FALSE)</formula>
    </cfRule>
  </conditionalFormatting>
  <conditionalFormatting sqref="L24:M31">
    <cfRule type="expression" dxfId="184" priority="195" stopIfTrue="1">
      <formula>IF($B$22&gt;0,TRUE,FALSE)</formula>
    </cfRule>
    <cfRule type="expression" dxfId="183" priority="196" stopIfTrue="1">
      <formula>IF($B$28="UNDERGROUND",TRUE,FALSE)</formula>
    </cfRule>
  </conditionalFormatting>
  <conditionalFormatting sqref="X53:AA67">
    <cfRule type="expression" dxfId="182" priority="197" stopIfTrue="1">
      <formula>IF($B$22&gt;0,TRUE,FALSE)</formula>
    </cfRule>
    <cfRule type="expression" dxfId="181" priority="198" stopIfTrue="1">
      <formula>IF($B$53="NO",TRUE,IF($B$52="NO",TRUE,FALSE))</formula>
    </cfRule>
  </conditionalFormatting>
  <conditionalFormatting sqref="Z52">
    <cfRule type="expression" dxfId="180" priority="199" stopIfTrue="1">
      <formula>IF($B$22&gt;0,TRUE,FALSE)</formula>
    </cfRule>
    <cfRule type="expression" dxfId="179" priority="200" stopIfTrue="1">
      <formula>IF($B$53="NO",TRUE,IF($B$52="NO",TRUE,FALSE))</formula>
    </cfRule>
  </conditionalFormatting>
  <conditionalFormatting sqref="AL1:AM21 CH19:CH21 CJ1:CM2 AH1:AK2 CN1:CP17 CD1:CG2 CH1:CI17 BX1:CA2 CB1:CC17 BR1:BU2 BV1:BW17 BL1:BO2 BP1:BQ17 BF1:BI2 BJ1:BK17 AZ1:BC2 BD1:BE17 AT1:AW2 AN1:AQ2 O1:AG17 BD19:BD21 S18:AG21 AX1:AX21 AR1:AS21 BJ19:BJ21 BV19:BV21 BP19:BP21 CB19:CB21 AY1:AY17 CN19:CN21">
    <cfRule type="expression" dxfId="178" priority="201" stopIfTrue="1">
      <formula>IF(ERROR&gt;0,TRUE,FALSE)</formula>
    </cfRule>
  </conditionalFormatting>
  <conditionalFormatting sqref="CJ3:CM17">
    <cfRule type="expression" dxfId="177" priority="202" stopIfTrue="1">
      <formula>IF(ERROR&gt;0,TRUE,IF(COMM&lt;10,TRUE,FALSE))</formula>
    </cfRule>
  </conditionalFormatting>
  <conditionalFormatting sqref="CD3:CG17">
    <cfRule type="expression" dxfId="176" priority="203" stopIfTrue="1">
      <formula>IF(ERROR&gt;0,TRUE,IF(COMM&lt;9,TRUE,FALSE))</formula>
    </cfRule>
  </conditionalFormatting>
  <conditionalFormatting sqref="BX3:CA17">
    <cfRule type="expression" dxfId="175" priority="204" stopIfTrue="1">
      <formula>IF(ERROR&gt;0,TRUE,IF(COMM&lt;8,TRUE,FALSE))</formula>
    </cfRule>
  </conditionalFormatting>
  <conditionalFormatting sqref="BR3:BU17">
    <cfRule type="expression" dxfId="174" priority="205" stopIfTrue="1">
      <formula>IF(ERROR&gt;0,TRUE,IF(COMM&lt;7,TRUE,FALSE))</formula>
    </cfRule>
  </conditionalFormatting>
  <conditionalFormatting sqref="BL3:BO17">
    <cfRule type="expression" dxfId="173" priority="206" stopIfTrue="1">
      <formula>IF(ERROR&gt;0,TRUE,IF(COMM&lt;6,TRUE,FALSE))</formula>
    </cfRule>
  </conditionalFormatting>
  <conditionalFormatting sqref="BF3:BI17">
    <cfRule type="expression" dxfId="172" priority="207" stopIfTrue="1">
      <formula>IF(ERROR&gt;0,TRUE,IF(COMM&lt;5,TRUE,FALSE))</formula>
    </cfRule>
  </conditionalFormatting>
  <conditionalFormatting sqref="BA3:BC17 AZ3:AZ16">
    <cfRule type="expression" dxfId="171" priority="208" stopIfTrue="1">
      <formula>IF(ERROR&gt;0,TRUE,IF(COMM&lt;4,TRUE,FALSE))</formula>
    </cfRule>
  </conditionalFormatting>
  <conditionalFormatting sqref="AT3:AW17">
    <cfRule type="expression" dxfId="170" priority="209" stopIfTrue="1">
      <formula>IF(ERROR&gt;0,TRUE,IF(COMM&lt;3,TRUE,FALSE))</formula>
    </cfRule>
  </conditionalFormatting>
  <conditionalFormatting sqref="AN3:AQ17">
    <cfRule type="expression" dxfId="169" priority="210" stopIfTrue="1">
      <formula>IF(ERROR&gt;0,TRUE,IF(COMM&lt;2,TRUE,FALSE))</formula>
    </cfRule>
  </conditionalFormatting>
  <conditionalFormatting sqref="AH3:AK17">
    <cfRule type="expression" dxfId="168" priority="211" stopIfTrue="1">
      <formula>IF(ERROR&gt;0,TRUE,IF(COMM&lt;1,TRUE,FALSE))</formula>
    </cfRule>
  </conditionalFormatting>
  <conditionalFormatting sqref="CQ22 CQ78 AD107">
    <cfRule type="expression" dxfId="167" priority="212" stopIfTrue="1">
      <formula>IF($B$22&gt;0,TRUE,FALSE)</formula>
    </cfRule>
  </conditionalFormatting>
  <conditionalFormatting sqref="CQ1:CQ21 CP18:CP21">
    <cfRule type="expression" priority="213" stopIfTrue="1">
      <formula>IF($B$22&gt;0,TRUE,FALSE)</formula>
    </cfRule>
  </conditionalFormatting>
  <conditionalFormatting sqref="AZ17 AZ19:BC25">
    <cfRule type="expression" dxfId="166" priority="214" stopIfTrue="1">
      <formula>IF(ERROR&gt;0,TRUE,IF(COMM&lt;4,TRUE,FALSE))</formula>
    </cfRule>
  </conditionalFormatting>
  <conditionalFormatting sqref="AT19:AW25">
    <cfRule type="expression" dxfId="165" priority="215" stopIfTrue="1">
      <formula>IF(ERROR&gt;0,TRUE,IF(COMM&lt;3,TRUE,FALSE))</formula>
    </cfRule>
  </conditionalFormatting>
  <conditionalFormatting sqref="AH19:AK25">
    <cfRule type="expression" dxfId="164" priority="216" stopIfTrue="1">
      <formula>IF(ERROR&gt;0,TRUE,IF(COMM&lt;1,TRUE,FALSE))</formula>
    </cfRule>
  </conditionalFormatting>
  <conditionalFormatting sqref="AN19:AQ25">
    <cfRule type="expression" dxfId="163" priority="217" stopIfTrue="1">
      <formula>IF(ERROR&gt;0,TRUE,IF(COMM&lt;2,TRUE,FALSE))</formula>
    </cfRule>
  </conditionalFormatting>
  <conditionalFormatting sqref="AY18">
    <cfRule type="expression" dxfId="162" priority="218" stopIfTrue="1">
      <formula>IF($B$22&gt;0,TRUE,IF(MAX&lt;3,TRUE,FALSE))</formula>
    </cfRule>
    <cfRule type="expression" dxfId="161" priority="219" stopIfTrue="1">
      <formula>IF(MAX=3,TRUE,FALSE)</formula>
    </cfRule>
  </conditionalFormatting>
  <conditionalFormatting sqref="AZ26">
    <cfRule type="expression" dxfId="160" priority="220" stopIfTrue="1">
      <formula>IF($B$22&gt;0,TRUE,IF(MAX&lt;4,TRUE,FALSE))</formula>
    </cfRule>
  </conditionalFormatting>
  <conditionalFormatting sqref="BA30 AZ27:BC28 BB29:BB32">
    <cfRule type="expression" dxfId="159" priority="221" stopIfTrue="1">
      <formula>IF($B$22&gt;0,TRUE,IF(DWELL&lt;4,TRUE,FALSE))</formula>
    </cfRule>
  </conditionalFormatting>
  <conditionalFormatting sqref="AX26">
    <cfRule type="expression" dxfId="158" priority="222" stopIfTrue="1">
      <formula>IF($B$22&gt;0,TRUE,IF(MAX&lt;4,TRUE,FALSE))</formula>
    </cfRule>
    <cfRule type="expression" dxfId="157" priority="223" stopIfTrue="1">
      <formula>IF(MAX=3,TRUE,FALSE)</formula>
    </cfRule>
  </conditionalFormatting>
  <conditionalFormatting sqref="AW26">
    <cfRule type="expression" dxfId="156" priority="224" stopIfTrue="1">
      <formula>IF($B$22&gt;0,TRUE,IF(MAX&lt;4,TRUE,FALSE))</formula>
    </cfRule>
    <cfRule type="expression" dxfId="155" priority="225" stopIfTrue="1">
      <formula>IF(MAX=3,TRUE,FALSE)</formula>
    </cfRule>
  </conditionalFormatting>
  <conditionalFormatting sqref="BD18 AZ33:BA33 BC33:BD33">
    <cfRule type="expression" dxfId="154" priority="226" stopIfTrue="1">
      <formula>IF($B$22&gt;0,TRUE,IF(MAX&lt;4,TRUE,FALSE))</formula>
    </cfRule>
  </conditionalFormatting>
  <conditionalFormatting sqref="BB26:BD26 BF26 BI33:BJ33 BF33:BG33 BJ18">
    <cfRule type="expression" dxfId="153" priority="227" stopIfTrue="1">
      <formula>IF($B$22&gt;0,TRUE,IF(MAX&lt;5,TRUE,FALSE))</formula>
    </cfRule>
  </conditionalFormatting>
  <conditionalFormatting sqref="BH29:BH32 BG30 BF27:BI28">
    <cfRule type="expression" dxfId="152" priority="228" stopIfTrue="1">
      <formula>IF($B$22&gt;0,TRUE,IF(DWELL&lt;5,TRUE,FALSE))</formula>
    </cfRule>
  </conditionalFormatting>
  <conditionalFormatting sqref="BH26:BJ26 BL26 BL33:BM33 BO33:BP33 BP18">
    <cfRule type="expression" dxfId="151" priority="229" stopIfTrue="1">
      <formula>IF($B$22&gt;0,TRUE,IF(MAX&lt;6,TRUE,FALSE))</formula>
    </cfRule>
  </conditionalFormatting>
  <conditionalFormatting sqref="BF19:BI25">
    <cfRule type="expression" dxfId="150" priority="230" stopIfTrue="1">
      <formula>IF(ERROR&gt;0,TRUE,IF(COMM&lt;5,TRUE,FALSE))</formula>
    </cfRule>
  </conditionalFormatting>
  <conditionalFormatting sqref="AX33">
    <cfRule type="expression" dxfId="149" priority="231" stopIfTrue="1">
      <formula>IF($B$22&gt;0,TRUE,IF(MAX&lt;3,TRUE,FALSE))</formula>
    </cfRule>
  </conditionalFormatting>
  <conditionalFormatting sqref="BE18">
    <cfRule type="expression" dxfId="148" priority="232" stopIfTrue="1">
      <formula>IF($B$22&gt;0,TRUE,IF(MAX&lt;4,TRUE,FALSE))</formula>
    </cfRule>
    <cfRule type="expression" dxfId="147" priority="233" stopIfTrue="1">
      <formula>IF(MAX=4,TRUE,FALSE)</formula>
    </cfRule>
  </conditionalFormatting>
  <conditionalFormatting sqref="BL19:BO25">
    <cfRule type="expression" dxfId="146" priority="234" stopIfTrue="1">
      <formula>IF(ERROR&gt;0,TRUE,IF(COMM&lt;6,TRUE,FALSE))</formula>
    </cfRule>
  </conditionalFormatting>
  <conditionalFormatting sqref="BN26:BP26 BR33:BS33 BV18 BU33:BV33 BR26">
    <cfRule type="expression" dxfId="145" priority="235" stopIfTrue="1">
      <formula>IF($B$22&gt;0,TRUE,IF(MAX&lt;7,TRUE,FALSE))</formula>
    </cfRule>
  </conditionalFormatting>
  <conditionalFormatting sqref="BK18">
    <cfRule type="expression" dxfId="144" priority="236" stopIfTrue="1">
      <formula>IF($B$22&gt;0,TRUE,IF(MAX&lt;5,TRUE,FALSE))</formula>
    </cfRule>
    <cfRule type="expression" dxfId="143" priority="237" stopIfTrue="1">
      <formula>IF(MAX=5,TRUE,FALSE)</formula>
    </cfRule>
  </conditionalFormatting>
  <conditionalFormatting sqref="BE26">
    <cfRule type="expression" dxfId="142" priority="238" stopIfTrue="1">
      <formula>IF($B$22&gt;0,TRUE,FALSE)</formula>
    </cfRule>
    <cfRule type="expression" dxfId="141" priority="239" stopIfTrue="1">
      <formula>IF(MAX&lt;4,TRUE,FALSE)</formula>
    </cfRule>
    <cfRule type="expression" dxfId="140" priority="240" stopIfTrue="1">
      <formula>IF(MAX=4,TRUE,FALSE)</formula>
    </cfRule>
  </conditionalFormatting>
  <conditionalFormatting sqref="BK26">
    <cfRule type="expression" dxfId="139" priority="241" stopIfTrue="1">
      <formula>IF($B$22&gt;0,TRUE,FALSE)</formula>
    </cfRule>
    <cfRule type="expression" dxfId="138" priority="242" stopIfTrue="1">
      <formula>IF(MAX&lt;5,TRUE,FALSE)</formula>
    </cfRule>
    <cfRule type="expression" dxfId="137" priority="243" stopIfTrue="1">
      <formula>IF(MAX=5,TRUE,FALSE)</formula>
    </cfRule>
  </conditionalFormatting>
  <conditionalFormatting sqref="BQ18">
    <cfRule type="expression" dxfId="136" priority="244" stopIfTrue="1">
      <formula>IF($B$22&gt;0,TRUE,IF(MAX&lt;6,TRUE,FALSE))</formula>
    </cfRule>
    <cfRule type="expression" dxfId="135" priority="245" stopIfTrue="1">
      <formula>IF(MAX=6,TRUE,FALSE)</formula>
    </cfRule>
  </conditionalFormatting>
  <conditionalFormatting sqref="BQ26">
    <cfRule type="expression" dxfId="134" priority="246" stopIfTrue="1">
      <formula>IF($B$22&gt;0,TRUE,FALSE)</formula>
    </cfRule>
    <cfRule type="expression" dxfId="133" priority="247" stopIfTrue="1">
      <formula>IF(MAX&lt;6,TRUE,FALSE)</formula>
    </cfRule>
    <cfRule type="expression" dxfId="132" priority="248" stopIfTrue="1">
      <formula>IF(MAX=6,TRUE,FALSE)</formula>
    </cfRule>
  </conditionalFormatting>
  <conditionalFormatting sqref="BQ33">
    <cfRule type="expression" dxfId="131" priority="249" stopIfTrue="1">
      <formula>IF($B$22&gt;0,TRUE,IF(MAX&lt;6,TRUE,FALSE))</formula>
    </cfRule>
    <cfRule type="expression" dxfId="130" priority="250" stopIfTrue="1">
      <formula>IF(MAX=6,TRUE,FALSE)</formula>
    </cfRule>
  </conditionalFormatting>
  <conditionalFormatting sqref="BK33">
    <cfRule type="expression" dxfId="129" priority="251" stopIfTrue="1">
      <formula>IF($B$22&gt;0,TRUE,IF(MAX&lt;5,TRUE,FALSE))</formula>
    </cfRule>
    <cfRule type="expression" dxfId="128" priority="252" stopIfTrue="1">
      <formula>IF(MAX=5,TRUE,FALSE)</formula>
    </cfRule>
  </conditionalFormatting>
  <conditionalFormatting sqref="BH33">
    <cfRule type="expression" dxfId="127" priority="253" stopIfTrue="1">
      <formula>IF($B$22&gt;0,TRUE,IF(MAX&lt;5,TRUE,FALSE))</formula>
    </cfRule>
    <cfRule type="expression" dxfId="126" priority="254" stopIfTrue="1">
      <formula>IF(DWELL&lt;5,TRUE,FALSE)</formula>
    </cfRule>
  </conditionalFormatting>
  <conditionalFormatting sqref="BN33">
    <cfRule type="expression" dxfId="125" priority="255" stopIfTrue="1">
      <formula>IF($B$22&gt;0,TRUE,IF(MAX&lt;6,TRUE,FALSE))</formula>
    </cfRule>
    <cfRule type="expression" dxfId="124" priority="256" stopIfTrue="1">
      <formula>IF(DWELL&lt;6,TRUE,FALSE)</formula>
    </cfRule>
  </conditionalFormatting>
  <conditionalFormatting sqref="BB33">
    <cfRule type="expression" dxfId="123" priority="257" stopIfTrue="1">
      <formula>IF($B$22&gt;0,TRUE,IF(MAX&lt;4,TRUE,FALSE))</formula>
    </cfRule>
    <cfRule type="expression" dxfId="122" priority="258" stopIfTrue="1">
      <formula>IF(DWELL&lt;4,TRUE,FALSE)</formula>
    </cfRule>
  </conditionalFormatting>
  <conditionalFormatting sqref="BL27:BO28 BN29:BN32 BM30">
    <cfRule type="expression" dxfId="121" priority="259" stopIfTrue="1">
      <formula>IF($B$22&gt;0,TRUE,IF(DWELL&lt;6,TRUE,FALSE))</formula>
    </cfRule>
  </conditionalFormatting>
  <conditionalFormatting sqref="BR19:BU25">
    <cfRule type="expression" dxfId="120" priority="260" stopIfTrue="1">
      <formula>IF(ERROR&gt;0,TRUE,IF(COMM&lt;7,TRUE,FALSE))</formula>
    </cfRule>
  </conditionalFormatting>
  <conditionalFormatting sqref="BR27:BU28 BT29:BT32 BS30">
    <cfRule type="expression" dxfId="119" priority="261" stopIfTrue="1">
      <formula>IF($B$22&gt;0,TRUE,IF(DWELL&lt;7,TRUE,FALSE))</formula>
    </cfRule>
  </conditionalFormatting>
  <conditionalFormatting sqref="BT33">
    <cfRule type="expression" dxfId="118" priority="262" stopIfTrue="1">
      <formula>IF($B$22&gt;0,TRUE,IF(MAX&lt;7,TRUE,FALSE))</formula>
    </cfRule>
    <cfRule type="expression" dxfId="117" priority="263" stopIfTrue="1">
      <formula>IF(DWELL&lt;7,TRUE,FALSE)</formula>
    </cfRule>
  </conditionalFormatting>
  <conditionalFormatting sqref="AZ18:BA18 BC18">
    <cfRule type="expression" dxfId="116" priority="264" stopIfTrue="1">
      <formula>IF(ERROR&gt;0,TRUE,IF(MAX&lt;4,TRUE,FALSE))</formula>
    </cfRule>
  </conditionalFormatting>
  <conditionalFormatting sqref="BB18">
    <cfRule type="expression" dxfId="115" priority="265" stopIfTrue="1">
      <formula>IF(ERROR&gt;0,TRUE,IF(MAX&lt;4,TRUE,FALSE))</formula>
    </cfRule>
    <cfRule type="expression" dxfId="114" priority="266" stopIfTrue="1">
      <formula>IF(COMM&lt;4,TRUE,FALSE)</formula>
    </cfRule>
  </conditionalFormatting>
  <conditionalFormatting sqref="BF18:BG18 BI18">
    <cfRule type="expression" dxfId="113" priority="267" stopIfTrue="1">
      <formula>IF(ERROR&gt;0,TRUE,IF(MAX&lt;5,TRUE,FALSE))</formula>
    </cfRule>
  </conditionalFormatting>
  <conditionalFormatting sqref="BH18">
    <cfRule type="expression" dxfId="112" priority="268" stopIfTrue="1">
      <formula>IF(ERROR&gt;0,TRUE,IF(MAX&lt;5,TRUE,FALSE))</formula>
    </cfRule>
    <cfRule type="expression" dxfId="111" priority="269" stopIfTrue="1">
      <formula>IF(COMM&lt;5,TRUE,FALSE)</formula>
    </cfRule>
  </conditionalFormatting>
  <conditionalFormatting sqref="BL18:BM18 BO18">
    <cfRule type="expression" dxfId="110" priority="270" stopIfTrue="1">
      <formula>IF(ERROR&gt;0,TRUE,IF(MAX&lt;6,TRUE,FALSE))</formula>
    </cfRule>
  </conditionalFormatting>
  <conditionalFormatting sqref="BN18">
    <cfRule type="expression" dxfId="109" priority="271" stopIfTrue="1">
      <formula>IF(ERROR&gt;0,TRUE,IF(MAX&lt;6,TRUE,FALSE))</formula>
    </cfRule>
    <cfRule type="expression" dxfId="108" priority="272" stopIfTrue="1">
      <formula>IF(COMM&lt;6,TRUE,FALSE)</formula>
    </cfRule>
  </conditionalFormatting>
  <conditionalFormatting sqref="BR18:BS18 BU18">
    <cfRule type="expression" dxfId="107" priority="273" stopIfTrue="1">
      <formula>IF(ERROR&gt;0,TRUE,IF(MAX&lt;7,TRUE,FALSE))</formula>
    </cfRule>
  </conditionalFormatting>
  <conditionalFormatting sqref="BT18">
    <cfRule type="expression" dxfId="106" priority="274" stopIfTrue="1">
      <formula>IF(ERROR&gt;0,TRUE,IF(MAX&lt;7,TRUE,FALSE))</formula>
    </cfRule>
    <cfRule type="expression" dxfId="105" priority="275" stopIfTrue="1">
      <formula>IF(COMM&lt;7,TRUE,FALSE)</formula>
    </cfRule>
  </conditionalFormatting>
  <conditionalFormatting sqref="BW18">
    <cfRule type="expression" dxfId="104" priority="276" stopIfTrue="1">
      <formula>IF($B$22&gt;0,TRUE,IF(MAX&lt;7,TRUE,FALSE))</formula>
    </cfRule>
    <cfRule type="expression" dxfId="103" priority="277" stopIfTrue="1">
      <formula>IF(MAX=7,TRUE,FALSE)</formula>
    </cfRule>
  </conditionalFormatting>
  <conditionalFormatting sqref="BW26">
    <cfRule type="expression" dxfId="102" priority="278" stopIfTrue="1">
      <formula>IF($B$22&gt;0,TRUE,FALSE)</formula>
    </cfRule>
    <cfRule type="expression" dxfId="101" priority="279" stopIfTrue="1">
      <formula>IF(MAX&lt;7,TRUE,FALSE)</formula>
    </cfRule>
    <cfRule type="expression" dxfId="100" priority="280" stopIfTrue="1">
      <formula>IF(MAX=7,TRUE,FALSE)</formula>
    </cfRule>
  </conditionalFormatting>
  <conditionalFormatting sqref="BW33">
    <cfRule type="expression" dxfId="99" priority="281" stopIfTrue="1">
      <formula>IF($B$22&gt;0,TRUE,IF(MAX&lt;7,TRUE,FALSE))</formula>
    </cfRule>
    <cfRule type="expression" dxfId="98" priority="282" stopIfTrue="1">
      <formula>IF(MAX=7,TRUE,FALSE)</formula>
    </cfRule>
  </conditionalFormatting>
  <conditionalFormatting sqref="BT26:BV26 BX26 CB18 CA33:CB33 BX33:BY33">
    <cfRule type="expression" dxfId="97" priority="283" stopIfTrue="1">
      <formula>IF($B$22&gt;0,TRUE,IF(MAX&lt;8,TRUE,FALSE))</formula>
    </cfRule>
  </conditionalFormatting>
  <conditionalFormatting sqref="BS26">
    <cfRule type="expression" dxfId="96" priority="284" stopIfTrue="1">
      <formula>IF($B$22&gt;0,TRUE,IF(MAX&lt;7,TRUE,FALSE))</formula>
    </cfRule>
    <cfRule type="expression" dxfId="95" priority="285" stopIfTrue="1">
      <formula>IF(DWELL&lt;7,TRUE,FALSE)</formula>
    </cfRule>
  </conditionalFormatting>
  <conditionalFormatting sqref="BX18:BY18 CA18">
    <cfRule type="expression" dxfId="94" priority="286" stopIfTrue="1">
      <formula>IF(ERROR&gt;0,TRUE,IF(MAX&lt;8,TRUE,FALSE))</formula>
    </cfRule>
  </conditionalFormatting>
  <conditionalFormatting sqref="BZ18">
    <cfRule type="expression" dxfId="93" priority="287" stopIfTrue="1">
      <formula>IF(ERROR&gt;0,TRUE,IF(MAX&lt;8,TRUE,FALSE))</formula>
    </cfRule>
    <cfRule type="expression" dxfId="92" priority="288" stopIfTrue="1">
      <formula>IF(COMM&lt;8,TRUE,FALSE)</formula>
    </cfRule>
  </conditionalFormatting>
  <conditionalFormatting sqref="CC26">
    <cfRule type="expression" dxfId="91" priority="289" stopIfTrue="1">
      <formula>IF($B$22&gt;0,TRUE,FALSE)</formula>
    </cfRule>
    <cfRule type="expression" dxfId="90" priority="290" stopIfTrue="1">
      <formula>IF(MAX&lt;8,TRUE,FALSE)</formula>
    </cfRule>
    <cfRule type="expression" dxfId="89" priority="291" stopIfTrue="1">
      <formula>IF(MAX=8,TRUE,FALSE)</formula>
    </cfRule>
  </conditionalFormatting>
  <conditionalFormatting sqref="CC33">
    <cfRule type="expression" dxfId="88" priority="292" stopIfTrue="1">
      <formula>IF($B$22&gt;0,TRUE,IF(MAX&lt;8,TRUE,FALSE))</formula>
    </cfRule>
    <cfRule type="expression" dxfId="87" priority="293" stopIfTrue="1">
      <formula>IF(MAX=8,TRUE,FALSE)</formula>
    </cfRule>
  </conditionalFormatting>
  <conditionalFormatting sqref="BZ33">
    <cfRule type="expression" dxfId="86" priority="294" stopIfTrue="1">
      <formula>IF($B$22&gt;0,TRUE,IF(MAX&lt;8,TRUE,FALSE))</formula>
    </cfRule>
    <cfRule type="expression" dxfId="85" priority="295" stopIfTrue="1">
      <formula>IF(DWELL&lt;8,TRUE,FALSE)</formula>
    </cfRule>
  </conditionalFormatting>
  <conditionalFormatting sqref="BZ29:BZ32 BY30 BX27:CA28">
    <cfRule type="expression" dxfId="84" priority="296" stopIfTrue="1">
      <formula>IF($B$22&gt;0,TRUE,IF(DWELL&lt;8,TRUE,FALSE))</formula>
    </cfRule>
  </conditionalFormatting>
  <conditionalFormatting sqref="BY26">
    <cfRule type="expression" dxfId="83" priority="297" stopIfTrue="1">
      <formula>IF($B$22&gt;0,TRUE,IF(MAX&lt;8,TRUE,FALSE))</formula>
    </cfRule>
    <cfRule type="expression" dxfId="82" priority="298" stopIfTrue="1">
      <formula>IF(DWELL&lt;8,TRUE,FALSE)</formula>
    </cfRule>
  </conditionalFormatting>
  <conditionalFormatting sqref="BX19:CA25">
    <cfRule type="expression" dxfId="81" priority="299" stopIfTrue="1">
      <formula>IF(ERROR&gt;0,TRUE,IF(COMM&lt;8,TRUE,FALSE))</formula>
    </cfRule>
  </conditionalFormatting>
  <conditionalFormatting sqref="BZ26:CB26 CD26 CH18 CG33:CH33 CD33:CE33">
    <cfRule type="expression" dxfId="80" priority="300" stopIfTrue="1">
      <formula>IF($B$22&gt;0,TRUE,IF(MAX&lt;9,TRUE,FALSE))</formula>
    </cfRule>
  </conditionalFormatting>
  <conditionalFormatting sqref="CC18">
    <cfRule type="expression" dxfId="79" priority="301" stopIfTrue="1">
      <formula>IF($B$22&gt;0,TRUE,IF(MAX&lt;8,TRUE,FALSE))</formula>
    </cfRule>
    <cfRule type="expression" dxfId="78" priority="302" stopIfTrue="1">
      <formula>IF(MAX=8,TRUE,FALSE)</formula>
    </cfRule>
  </conditionalFormatting>
  <conditionalFormatting sqref="CD18:CE18 CG18">
    <cfRule type="expression" dxfId="77" priority="303" stopIfTrue="1">
      <formula>IF(ERROR&gt;0,TRUE,IF(MAX&lt;9,TRUE,FALSE))</formula>
    </cfRule>
  </conditionalFormatting>
  <conditionalFormatting sqref="CF18">
    <cfRule type="expression" dxfId="76" priority="304" stopIfTrue="1">
      <formula>IF(ERROR&gt;0,TRUE,IF(MAX&lt;9,TRUE,FALSE))</formula>
    </cfRule>
    <cfRule type="expression" dxfId="75" priority="305" stopIfTrue="1">
      <formula>IF(COMM&lt;9,TRUE,FALSE)</formula>
    </cfRule>
  </conditionalFormatting>
  <conditionalFormatting sqref="CI18">
    <cfRule type="expression" dxfId="74" priority="306" stopIfTrue="1">
      <formula>IF($B$22&gt;0,TRUE,IF(MAX&lt;9,TRUE,FALSE))</formula>
    </cfRule>
    <cfRule type="expression" dxfId="73" priority="307" stopIfTrue="1">
      <formula>IF(MAX=9,TRUE,FALSE)</formula>
    </cfRule>
  </conditionalFormatting>
  <conditionalFormatting sqref="CI26">
    <cfRule type="expression" dxfId="72" priority="308" stopIfTrue="1">
      <formula>IF($B$22&gt;0,TRUE,FALSE)</formula>
    </cfRule>
    <cfRule type="expression" dxfId="71" priority="309" stopIfTrue="1">
      <formula>IF(MAX&lt;9,TRUE,FALSE)</formula>
    </cfRule>
    <cfRule type="expression" dxfId="70" priority="310" stopIfTrue="1">
      <formula>IF(MAX=9,TRUE,FALSE)</formula>
    </cfRule>
  </conditionalFormatting>
  <conditionalFormatting sqref="CI33">
    <cfRule type="expression" dxfId="69" priority="311" stopIfTrue="1">
      <formula>IF($B$22&gt;0,TRUE,IF(MAX&lt;9,TRUE,FALSE))</formula>
    </cfRule>
    <cfRule type="expression" dxfId="68" priority="312" stopIfTrue="1">
      <formula>IF(MAX=9,TRUE,FALSE)</formula>
    </cfRule>
  </conditionalFormatting>
  <conditionalFormatting sqref="CF33">
    <cfRule type="expression" dxfId="67" priority="313" stopIfTrue="1">
      <formula>IF($B$22&gt;0,TRUE,IF(MAX&lt;9,TRUE,FALSE))</formula>
    </cfRule>
    <cfRule type="expression" dxfId="66" priority="314" stopIfTrue="1">
      <formula>IF(DWELL&lt;9,TRUE,FALSE)</formula>
    </cfRule>
  </conditionalFormatting>
  <conditionalFormatting sqref="CF29:CF32 CE30 CD27:CG28">
    <cfRule type="expression" dxfId="65" priority="315" stopIfTrue="1">
      <formula>IF($B$22&gt;0,TRUE,IF(DWELL&lt;9,TRUE,FALSE))</formula>
    </cfRule>
  </conditionalFormatting>
  <conditionalFormatting sqref="CE26">
    <cfRule type="expression" dxfId="64" priority="316" stopIfTrue="1">
      <formula>IF($B$22&gt;0,TRUE,IF(MAX&lt;9,TRUE,FALSE))</formula>
    </cfRule>
    <cfRule type="expression" dxfId="63" priority="317" stopIfTrue="1">
      <formula>IF(DWELL&lt;9,TRUE,FALSE)</formula>
    </cfRule>
  </conditionalFormatting>
  <conditionalFormatting sqref="CD19:CG25">
    <cfRule type="expression" dxfId="62" priority="318" stopIfTrue="1">
      <formula>IF(ERROR&gt;0,TRUE,IF(COMM&lt;9,TRUE,FALSE))</formula>
    </cfRule>
  </conditionalFormatting>
  <conditionalFormatting sqref="CF26:CH26 CJ26 CN18 CM33:CN33 CJ33:CK33 CM26:CN26">
    <cfRule type="expression" dxfId="61" priority="319" stopIfTrue="1">
      <formula>IF($B$22&gt;0,TRUE,IF(MAX&lt;10,TRUE,FALSE))</formula>
    </cfRule>
  </conditionalFormatting>
  <conditionalFormatting sqref="CJ18:CK18 CM18">
    <cfRule type="expression" dxfId="60" priority="320" stopIfTrue="1">
      <formula>IF(ERROR&gt;0,TRUE,IF(MAX&lt;10,TRUE,FALSE))</formula>
    </cfRule>
  </conditionalFormatting>
  <conditionalFormatting sqref="CL18">
    <cfRule type="expression" dxfId="59" priority="321" stopIfTrue="1">
      <formula>IF(ERROR&gt;0,TRUE,IF(MAX&lt;10,TRUE,FALSE))</formula>
    </cfRule>
    <cfRule type="expression" dxfId="58" priority="322" stopIfTrue="1">
      <formula>IF(COMM&lt;10,TRUE,FALSE)</formula>
    </cfRule>
  </conditionalFormatting>
  <conditionalFormatting sqref="CL33">
    <cfRule type="expression" dxfId="57" priority="323" stopIfTrue="1">
      <formula>IF($B$22&gt;0,TRUE,IF(MAX&lt;10,TRUE,FALSE))</formula>
    </cfRule>
    <cfRule type="expression" dxfId="56" priority="324" stopIfTrue="1">
      <formula>IF(DWELL&lt;10,TRUE,FALSE)</formula>
    </cfRule>
  </conditionalFormatting>
  <conditionalFormatting sqref="CL29:CL32 CK30 CJ27:CM28">
    <cfRule type="expression" dxfId="55" priority="325" stopIfTrue="1">
      <formula>IF($B$22&gt;0,TRUE,IF(DWELL&lt;10,TRUE,FALSE))</formula>
    </cfRule>
  </conditionalFormatting>
  <conditionalFormatting sqref="CK26">
    <cfRule type="expression" dxfId="54" priority="326" stopIfTrue="1">
      <formula>IF($B$22&gt;0,TRUE,IF(MAX&lt;10,TRUE,FALSE))</formula>
    </cfRule>
    <cfRule type="expression" dxfId="53" priority="327" stopIfTrue="1">
      <formula>IF(DWELL&lt;10,TRUE,FALSE)</formula>
    </cfRule>
  </conditionalFormatting>
  <conditionalFormatting sqref="CJ19:CM25">
    <cfRule type="expression" dxfId="52" priority="328" stopIfTrue="1">
      <formula>IF(ERROR&gt;0,TRUE,IF(COMM&lt;10,TRUE,FALSE))</formula>
    </cfRule>
  </conditionalFormatting>
  <conditionalFormatting sqref="CI19:CI25 CI27:CI32">
    <cfRule type="expression" dxfId="51" priority="329" stopIfTrue="1">
      <formula>IF($B$22&gt;0,TRUE,FALSE)</formula>
    </cfRule>
    <cfRule type="expression" dxfId="50" priority="330" stopIfTrue="1">
      <formula>IF(MAX=9,TRUE,FALSE)</formula>
    </cfRule>
  </conditionalFormatting>
  <conditionalFormatting sqref="CC27:CC32 CC19:CC25">
    <cfRule type="expression" dxfId="49" priority="331" stopIfTrue="1">
      <formula>IF($B$22&gt;0,TRUE,FALSE)</formula>
    </cfRule>
    <cfRule type="expression" dxfId="48" priority="332" stopIfTrue="1">
      <formula>IF(MAX=8,TRUE,FALSE)</formula>
    </cfRule>
  </conditionalFormatting>
  <conditionalFormatting sqref="BW19:BW25 BW27:BW32">
    <cfRule type="expression" dxfId="47" priority="333" stopIfTrue="1">
      <formula>IF($B$22&gt;0,TRUE,FALSE)</formula>
    </cfRule>
    <cfRule type="expression" dxfId="46" priority="334" stopIfTrue="1">
      <formula>IF(MAX=7,TRUE,FALSE)</formula>
    </cfRule>
  </conditionalFormatting>
  <conditionalFormatting sqref="BQ19:BQ25 BQ27:BQ32">
    <cfRule type="expression" dxfId="45" priority="335" stopIfTrue="1">
      <formula>IF($B$22&gt;0,TRUE,FALSE)</formula>
    </cfRule>
    <cfRule type="expression" dxfId="44" priority="336" stopIfTrue="1">
      <formula>IF(MAX=6,TRUE,FALSE)</formula>
    </cfRule>
  </conditionalFormatting>
  <conditionalFormatting sqref="BK19:BK25 BK27:BK32">
    <cfRule type="expression" dxfId="43" priority="337" stopIfTrue="1">
      <formula>IF($B$22&gt;0,TRUE,FALSE)</formula>
    </cfRule>
    <cfRule type="expression" dxfId="42" priority="338" stopIfTrue="1">
      <formula>IF(MAX=5,TRUE,FALSE)</formula>
    </cfRule>
  </conditionalFormatting>
  <conditionalFormatting sqref="BE19:BE25 BE27:BE32">
    <cfRule type="expression" dxfId="41" priority="339" stopIfTrue="1">
      <formula>IF($B$22&gt;0,TRUE,FALSE)</formula>
    </cfRule>
    <cfRule type="expression" dxfId="40" priority="340" stopIfTrue="1">
      <formula>IF(MAX=4,TRUE,FALSE)</formula>
    </cfRule>
  </conditionalFormatting>
  <conditionalFormatting sqref="AY19:AY25 AY27:AY32">
    <cfRule type="expression" dxfId="39" priority="341" stopIfTrue="1">
      <formula>IF($B$22&gt;0,TRUE,FALSE)</formula>
    </cfRule>
    <cfRule type="expression" dxfId="38" priority="342" stopIfTrue="1">
      <formula>IF(MAX&lt;4,TRUE,FALSE)</formula>
    </cfRule>
  </conditionalFormatting>
  <conditionalFormatting sqref="BE33">
    <cfRule type="expression" dxfId="37" priority="343" stopIfTrue="1">
      <formula>IF($B$22&gt;0,TRUE,IF(MAX&lt;4,TRUE,FALSE))</formula>
    </cfRule>
    <cfRule type="expression" dxfId="36" priority="344" stopIfTrue="1">
      <formula>IF(MAX=4,TRUE,FALSE)</formula>
    </cfRule>
  </conditionalFormatting>
  <conditionalFormatting sqref="AY33">
    <cfRule type="expression" dxfId="35" priority="345" stopIfTrue="1">
      <formula>IF($B$22&gt;0,TRUE,FALSE)</formula>
    </cfRule>
    <cfRule type="expression" dxfId="34" priority="346" stopIfTrue="1">
      <formula>IF(MAX=3,TRUE,FALSE)</formula>
    </cfRule>
  </conditionalFormatting>
  <conditionalFormatting sqref="AO18:AQ18">
    <cfRule type="expression" dxfId="33" priority="347" stopIfTrue="1">
      <formula>IF(ERROR&gt;0,TRUE,FALSE)</formula>
    </cfRule>
    <cfRule type="expression" dxfId="32" priority="348" stopIfTrue="1">
      <formula>IF(COMM&lt;2,TRUE,FALSE)</formula>
    </cfRule>
  </conditionalFormatting>
  <conditionalFormatting sqref="CL26">
    <cfRule type="expression" dxfId="31" priority="349" stopIfTrue="1">
      <formula>IF($B$22&gt;0,TRUE,FALSE)</formula>
    </cfRule>
  </conditionalFormatting>
  <conditionalFormatting sqref="CO18">
    <cfRule type="expression" dxfId="30" priority="350" stopIfTrue="1">
      <formula>IF($B$22&gt;0,TRUE,IF(MAX&lt;10,TRUE,FALSE))</formula>
    </cfRule>
    <cfRule type="expression" dxfId="29" priority="351" stopIfTrue="1">
      <formula>IF(MAX&gt;9,TRUE,FALSE)</formula>
    </cfRule>
  </conditionalFormatting>
  <conditionalFormatting sqref="CO19:CO25 CO27:CO32">
    <cfRule type="expression" dxfId="28" priority="352" stopIfTrue="1">
      <formula>IF($B$22&gt;0,TRUE,FALSE)</formula>
    </cfRule>
    <cfRule type="expression" dxfId="27" priority="353" stopIfTrue="1">
      <formula>IF(MAX&gt;9,TRUE,FALSE)</formula>
    </cfRule>
  </conditionalFormatting>
  <conditionalFormatting sqref="CO26">
    <cfRule type="expression" dxfId="26" priority="354" stopIfTrue="1">
      <formula>IF($B$22&gt;0,TRUE,FALSE)</formula>
    </cfRule>
    <cfRule type="expression" dxfId="25" priority="355" stopIfTrue="1">
      <formula>IF(MAX&gt;9,TRUE,FALSE)</formula>
    </cfRule>
  </conditionalFormatting>
  <conditionalFormatting sqref="CO33">
    <cfRule type="expression" dxfId="24" priority="356" stopIfTrue="1">
      <formula>IF($B$22&gt;0,TRUE,IF(MAX&lt;10,TRUE,FALSE))</formula>
    </cfRule>
    <cfRule type="expression" dxfId="23" priority="357" stopIfTrue="1">
      <formula>IF(MAX&gt;9,TRUE,FALSE)</formula>
    </cfRule>
  </conditionalFormatting>
  <conditionalFormatting sqref="BG26">
    <cfRule type="expression" dxfId="22" priority="358" stopIfTrue="1">
      <formula>IF($B$22&gt;0,TRUE,IF(MAX&lt;5,TRUE,FALSE))</formula>
    </cfRule>
    <cfRule type="expression" dxfId="21" priority="359" stopIfTrue="1">
      <formula>IF(DWELL&lt;5,TRUE,FALSE)</formula>
    </cfRule>
  </conditionalFormatting>
  <conditionalFormatting sqref="BA26">
    <cfRule type="expression" dxfId="20" priority="360" stopIfTrue="1">
      <formula>IF($B$22&gt;0,TRUE,IF(MAX&lt;4,TRUE,FALSE))</formula>
    </cfRule>
    <cfRule type="expression" dxfId="19" priority="361" stopIfTrue="1">
      <formula>IF(DWELL&lt;4,TRUE,FALSE)</formula>
    </cfRule>
  </conditionalFormatting>
  <conditionalFormatting sqref="AU26">
    <cfRule type="expression" dxfId="18" priority="362" stopIfTrue="1">
      <formula>IF($B$22&gt;0,TRUE,FALSE)</formula>
    </cfRule>
  </conditionalFormatting>
  <conditionalFormatting sqref="AV26">
    <cfRule type="expression" dxfId="17" priority="363" stopIfTrue="1">
      <formula>IF($B$22&gt;0,TRUE,FALSE)</formula>
    </cfRule>
    <cfRule type="expression" dxfId="16" priority="364" stopIfTrue="1">
      <formula>IF(MAX=3,TRUE,FALSE)</formula>
    </cfRule>
  </conditionalFormatting>
  <conditionalFormatting sqref="AY26">
    <cfRule type="expression" dxfId="15" priority="365" stopIfTrue="1">
      <formula>IF($B$22&gt;0,TRUE,FALSE)</formula>
    </cfRule>
    <cfRule type="expression" dxfId="14" priority="366" stopIfTrue="1">
      <formula>IF(MAX=3,TRUE,FALSE)</formula>
    </cfRule>
  </conditionalFormatting>
  <conditionalFormatting sqref="BM26">
    <cfRule type="expression" dxfId="13" priority="367" stopIfTrue="1">
      <formula>IF($B$22&gt;0,TRUE,IF(MAX&lt;6,TRUE,FALSE))</formula>
    </cfRule>
    <cfRule type="expression" dxfId="12" priority="368" stopIfTrue="1">
      <formula>IF(DWELL&lt;6,TRUE,FALSE)</formula>
    </cfRule>
  </conditionalFormatting>
  <conditionalFormatting sqref="K3">
    <cfRule type="expression" dxfId="11" priority="369" stopIfTrue="1">
      <formula>IF($B$22&gt;0,TRUE,FALSE)</formula>
    </cfRule>
  </conditionalFormatting>
  <conditionalFormatting sqref="U23">
    <cfRule type="expression" dxfId="10" priority="370" stopIfTrue="1">
      <formula>IF($B$22&gt;0,TRUE,FALSE)</formula>
    </cfRule>
  </conditionalFormatting>
  <conditionalFormatting sqref="K6">
    <cfRule type="expression" dxfId="9" priority="371" stopIfTrue="1">
      <formula>IF(B10&gt;0,TRUE,IF(B9&gt;0,TRUE,FALSE))</formula>
    </cfRule>
  </conditionalFormatting>
  <conditionalFormatting sqref="AN18">
    <cfRule type="expression" dxfId="8" priority="372" stopIfTrue="1">
      <formula>IF(ERROR&gt;0,TRUE,FALSE)</formula>
    </cfRule>
    <cfRule type="expression" dxfId="7" priority="373" stopIfTrue="1">
      <formula>IF(COMM&lt;2,TRUE,FALSE)</formula>
    </cfRule>
  </conditionalFormatting>
  <conditionalFormatting sqref="AH18:AI18 AK18">
    <cfRule type="expression" dxfId="6" priority="374" stopIfTrue="1">
      <formula>IF(ERROR&gt;0,TRUE,FALSE)</formula>
    </cfRule>
  </conditionalFormatting>
  <conditionalFormatting sqref="AJ18">
    <cfRule type="expression" dxfId="5" priority="375" stopIfTrue="1">
      <formula>IF(ERROR&gt;0,TRUE,FALSE)</formula>
    </cfRule>
    <cfRule type="expression" dxfId="4" priority="376" stopIfTrue="1">
      <formula>IF(COMM&lt;1,TRUE,FALSE)</formula>
    </cfRule>
  </conditionalFormatting>
  <conditionalFormatting sqref="AT18:AU18 AW18">
    <cfRule type="expression" dxfId="3" priority="377" stopIfTrue="1">
      <formula>IF(ERROR&gt;0,TRUE,FALSE)</formula>
    </cfRule>
    <cfRule type="expression" dxfId="2" priority="378" stopIfTrue="1">
      <formula>IF(COMM&lt;3,TRUE,FALSE)</formula>
    </cfRule>
  </conditionalFormatting>
  <conditionalFormatting sqref="AV18">
    <cfRule type="expression" dxfId="1" priority="379" stopIfTrue="1">
      <formula>IF(ERROR&gt;0,TRUE,FALSE)</formula>
    </cfRule>
    <cfRule type="expression" dxfId="0" priority="380" stopIfTrue="1">
      <formula>IF(COMM&lt;3,TRUE,FALSE)</formula>
    </cfRule>
  </conditionalFormatting>
  <pageMargins left="2.5000000000000001E-2" right="2.5000000000000001E-2" top="0.25" bottom="2.5000000000000001E-2" header="0" footer="0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400"/>
  <sheetViews>
    <sheetView workbookViewId="0">
      <selection activeCell="G11" sqref="G11"/>
    </sheetView>
  </sheetViews>
  <sheetFormatPr defaultColWidth="0" defaultRowHeight="11.25" zeroHeight="1"/>
  <cols>
    <col min="1" max="1" width="10.7109375" style="58" customWidth="1"/>
    <col min="2" max="2" width="16" style="58" customWidth="1"/>
    <col min="3" max="5" width="10.7109375" style="58" customWidth="1"/>
    <col min="6" max="6" width="16" style="58" customWidth="1"/>
    <col min="7" max="25" width="10.7109375" style="58" customWidth="1"/>
    <col min="26" max="26" width="21.85546875" style="58" customWidth="1"/>
    <col min="27" max="139" width="10.7109375" style="58" customWidth="1"/>
    <col min="140" max="160" width="0" style="58" hidden="1" customWidth="1"/>
    <col min="161" max="235" width="9.28515625" style="58" hidden="1" customWidth="1"/>
    <col min="236" max="16384" width="0" style="58" hidden="1"/>
  </cols>
  <sheetData>
    <row r="1" spans="1:54">
      <c r="B1" s="58" t="s">
        <v>253</v>
      </c>
    </row>
    <row r="2" spans="1:54" ht="12" customHeight="1">
      <c r="A2" s="58" t="s">
        <v>53</v>
      </c>
      <c r="B2" s="58" t="str">
        <f>IF(I54=1,"",I54)</f>
        <v/>
      </c>
      <c r="C2" s="58" t="str">
        <f>IF(I54=1,""," - ")</f>
        <v/>
      </c>
      <c r="D2" s="58" t="str">
        <f>D33</f>
        <v>2 1/2''</v>
      </c>
      <c r="E2" s="58" t="s">
        <v>53</v>
      </c>
      <c r="F2" s="58" t="str">
        <f>AO25</f>
        <v>EMT</v>
      </c>
      <c r="G2" s="58" t="s">
        <v>254</v>
      </c>
      <c r="H2" s="58">
        <f>H10</f>
        <v>4</v>
      </c>
      <c r="I2" s="58" t="s">
        <v>255</v>
      </c>
      <c r="J2" s="58" t="str">
        <f>G54</f>
        <v>#300</v>
      </c>
      <c r="K2" s="58" t="s">
        <v>53</v>
      </c>
      <c r="L2" s="59" t="s">
        <v>53</v>
      </c>
      <c r="M2" s="58">
        <f>I54</f>
        <v>1</v>
      </c>
      <c r="N2" s="58" t="s">
        <v>256</v>
      </c>
      <c r="O2" s="58" t="str">
        <f>IF(M2=1,"CONDUIT","CONDUITS")</f>
        <v>CONDUIT</v>
      </c>
      <c r="P2" s="58" t="str">
        <f>CONCATENATE(L2,M2,N2,O2)</f>
        <v xml:space="preserve"> 1 - CONDUIT</v>
      </c>
    </row>
    <row r="3" spans="1:54" ht="12" customHeight="1">
      <c r="B3" s="58" t="str">
        <f>IF(B2=1,"CONDUIT","CONDUITS")</f>
        <v>CONDUITS</v>
      </c>
      <c r="C3" s="58" t="str">
        <f>CONCATENATE(B2,C2,D2,)</f>
        <v>2 1/2''</v>
      </c>
      <c r="D3" s="58" t="str">
        <f>CONCATENATE(F2)</f>
        <v>EMT</v>
      </c>
      <c r="L3" s="58" t="s">
        <v>53</v>
      </c>
      <c r="M3" s="58" t="str">
        <f>D33</f>
        <v>2 1/2''</v>
      </c>
      <c r="N3" s="58" t="s">
        <v>53</v>
      </c>
      <c r="O3" s="59" t="str">
        <f>AO25</f>
        <v>EMT</v>
      </c>
      <c r="P3" s="58" t="str">
        <f>CONCATENATE(L3,M3,N3,O3)</f>
        <v xml:space="preserve"> 2 1/2'' EMT</v>
      </c>
      <c r="AJ3" s="58" t="s">
        <v>257</v>
      </c>
      <c r="AK3" s="109" t="str">
        <f>Input!D42</f>
        <v>EMT</v>
      </c>
    </row>
    <row r="4" spans="1:54" ht="12" customHeight="1"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R4" s="60"/>
      <c r="Z4" s="61" t="s">
        <v>258</v>
      </c>
      <c r="AB4" s="60"/>
      <c r="AC4" s="60"/>
      <c r="AD4" s="60"/>
      <c r="AE4" s="60"/>
      <c r="AF4" s="60"/>
      <c r="AG4" s="60"/>
      <c r="AH4" s="60"/>
      <c r="AI4" s="60"/>
      <c r="AJ4" s="62" t="s">
        <v>259</v>
      </c>
      <c r="AK4" s="63">
        <f>IF(AK3="GENERAL",1,0)</f>
        <v>0</v>
      </c>
      <c r="AL4" s="60"/>
      <c r="AN4" s="61" t="s">
        <v>260</v>
      </c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</row>
    <row r="5" spans="1:54" ht="12" customHeight="1">
      <c r="F5" s="61" t="s">
        <v>261</v>
      </c>
      <c r="G5" s="61"/>
      <c r="H5" s="60"/>
      <c r="I5" s="60"/>
      <c r="J5" s="60"/>
      <c r="K5" s="60"/>
      <c r="L5" s="60"/>
      <c r="M5" s="60"/>
      <c r="N5" s="60"/>
      <c r="O5" s="60"/>
      <c r="P5" s="60"/>
      <c r="R5" s="60"/>
      <c r="AB5" s="60"/>
      <c r="AC5" s="60"/>
      <c r="AD5" s="60"/>
      <c r="AE5" s="60"/>
      <c r="AF5" s="60"/>
      <c r="AG5" s="60"/>
      <c r="AH5" s="60"/>
      <c r="AI5" s="60"/>
      <c r="AJ5" s="62" t="s">
        <v>262</v>
      </c>
      <c r="AK5" s="63">
        <f>IF(AK3="RIGID",2,0)</f>
        <v>0</v>
      </c>
      <c r="AL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</row>
    <row r="6" spans="1:54" ht="12" customHeight="1">
      <c r="D6" s="58" t="s">
        <v>263</v>
      </c>
      <c r="E6" s="58" t="s">
        <v>264</v>
      </c>
      <c r="F6" s="64" t="s">
        <v>265</v>
      </c>
      <c r="G6" s="181" t="str">
        <f>Input!D37</f>
        <v>AL</v>
      </c>
      <c r="H6" s="60"/>
      <c r="I6" s="60"/>
      <c r="J6" s="60"/>
      <c r="K6" s="60"/>
      <c r="L6" s="65" t="s">
        <v>266</v>
      </c>
      <c r="M6" s="60"/>
      <c r="N6" s="60"/>
      <c r="O6" s="60"/>
      <c r="P6" s="60"/>
      <c r="R6" s="60"/>
      <c r="Z6" s="64" t="s">
        <v>267</v>
      </c>
      <c r="AA6" s="66">
        <f>G8</f>
        <v>218</v>
      </c>
      <c r="AB6" s="66">
        <f>E11</f>
        <v>0</v>
      </c>
      <c r="AC6" s="60"/>
      <c r="AD6" s="60"/>
      <c r="AE6" s="60"/>
      <c r="AF6" s="60"/>
      <c r="AG6" s="60"/>
      <c r="AH6" s="60"/>
      <c r="AI6" s="60"/>
      <c r="AJ6" s="62" t="s">
        <v>268</v>
      </c>
      <c r="AK6" s="63">
        <f>IF(AK3="EMT",3,0)</f>
        <v>3</v>
      </c>
      <c r="AL6" s="60"/>
      <c r="AN6" s="67" t="s">
        <v>269</v>
      </c>
      <c r="AO6" s="66">
        <f>AK12</f>
        <v>3</v>
      </c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</row>
    <row r="7" spans="1:54" ht="12" customHeight="1">
      <c r="D7" s="58" t="s">
        <v>270</v>
      </c>
      <c r="E7" s="58" t="s">
        <v>167</v>
      </c>
      <c r="F7" s="68" t="s">
        <v>271</v>
      </c>
      <c r="G7" s="182">
        <f>Input!D38</f>
        <v>75</v>
      </c>
      <c r="H7" s="60"/>
      <c r="I7" s="69" t="s">
        <v>272</v>
      </c>
      <c r="J7" s="60"/>
      <c r="K7" s="70">
        <f>MAX(D8:D9)</f>
        <v>0</v>
      </c>
      <c r="L7" s="60">
        <f>I54</f>
        <v>1</v>
      </c>
      <c r="M7" s="71">
        <f>K7/L7</f>
        <v>0</v>
      </c>
      <c r="N7" s="60"/>
      <c r="Z7" s="72" t="s">
        <v>273</v>
      </c>
      <c r="AA7" s="73">
        <f>I54</f>
        <v>1</v>
      </c>
      <c r="AC7" s="60"/>
      <c r="AD7" s="60"/>
      <c r="AE7" s="60"/>
      <c r="AF7" s="60"/>
      <c r="AG7" s="60"/>
      <c r="AH7" s="60"/>
      <c r="AI7" s="60"/>
      <c r="AJ7" s="62" t="s">
        <v>274</v>
      </c>
      <c r="AK7" s="63">
        <f>IF(AK3="IMC",4,0)</f>
        <v>0</v>
      </c>
      <c r="AL7" s="60"/>
      <c r="AN7" s="72" t="s">
        <v>275</v>
      </c>
      <c r="AO7" s="73">
        <f>AH84</f>
        <v>1.7794000000000001</v>
      </c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</row>
    <row r="8" spans="1:54" ht="12" customHeight="1">
      <c r="B8" s="58" t="s">
        <v>276</v>
      </c>
      <c r="C8" s="175">
        <f>Calcs!E31</f>
        <v>218</v>
      </c>
      <c r="F8" s="68" t="s">
        <v>277</v>
      </c>
      <c r="G8" s="183">
        <f>MAX(C8:C9)</f>
        <v>218</v>
      </c>
      <c r="H8" s="60"/>
      <c r="I8" s="69" t="s">
        <v>278</v>
      </c>
      <c r="J8" s="60"/>
      <c r="K8" s="184">
        <f>Calcs!J34</f>
        <v>185</v>
      </c>
      <c r="L8" s="60">
        <f>L7</f>
        <v>1</v>
      </c>
      <c r="M8" s="71">
        <f>K8/L8</f>
        <v>185</v>
      </c>
      <c r="N8" s="60"/>
      <c r="AC8" s="60"/>
      <c r="AD8" s="60"/>
      <c r="AE8" s="60"/>
      <c r="AF8" s="60"/>
      <c r="AG8" s="60"/>
      <c r="AH8" s="60"/>
      <c r="AI8" s="60"/>
      <c r="AJ8" s="62" t="s">
        <v>279</v>
      </c>
      <c r="AK8" s="63">
        <f>IF(AK3="PVC-40",5,0)</f>
        <v>0</v>
      </c>
      <c r="AL8" s="60"/>
      <c r="AN8" s="74" t="s">
        <v>280</v>
      </c>
      <c r="AO8" s="75">
        <f>IF(AF84=2,0.31,0.4)</f>
        <v>0.4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</row>
    <row r="9" spans="1:54" ht="12" customHeight="1">
      <c r="B9" s="58" t="s">
        <v>281</v>
      </c>
      <c r="C9" s="176">
        <f>Input!D19</f>
        <v>100</v>
      </c>
      <c r="D9" s="59"/>
      <c r="E9" s="177">
        <f>Calcs!J34</f>
        <v>185</v>
      </c>
      <c r="F9" s="68" t="s">
        <v>282</v>
      </c>
      <c r="G9" s="76">
        <f>IF(G8&gt;1000,1200,IF(G8&gt;800,1000,G8))</f>
        <v>218</v>
      </c>
      <c r="H9" s="60"/>
      <c r="I9" s="69" t="s">
        <v>283</v>
      </c>
      <c r="J9" s="60"/>
      <c r="K9" s="71">
        <f>ROUND((F54*33.34/100),1)</f>
        <v>76.7</v>
      </c>
      <c r="L9" s="60">
        <f>L8</f>
        <v>1</v>
      </c>
      <c r="M9" s="71">
        <f>K9/L9</f>
        <v>76.7</v>
      </c>
      <c r="N9" s="60"/>
      <c r="AA9" s="60"/>
      <c r="AC9" s="60"/>
      <c r="AD9" s="60"/>
      <c r="AE9" s="60"/>
      <c r="AF9" s="60"/>
      <c r="AG9" s="60"/>
      <c r="AH9" s="60"/>
      <c r="AI9" s="60"/>
      <c r="AJ9" s="62" t="s">
        <v>284</v>
      </c>
      <c r="AK9" s="63">
        <f>IF(AK3="RIGID/PVC",6,0)</f>
        <v>0</v>
      </c>
      <c r="AL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</row>
    <row r="10" spans="1:54" ht="12" customHeight="1">
      <c r="D10" s="58">
        <f>MAX(D8:D9)</f>
        <v>0</v>
      </c>
      <c r="F10" s="68" t="s">
        <v>285</v>
      </c>
      <c r="G10" s="77" t="str">
        <f>C14</f>
        <v>N</v>
      </c>
      <c r="H10" s="109">
        <f>IF(Input!D11=1,3,4)</f>
        <v>4</v>
      </c>
      <c r="I10" s="78" t="s">
        <v>166</v>
      </c>
      <c r="J10" s="60"/>
      <c r="K10" s="71">
        <f>MAX(K8:K9)</f>
        <v>185</v>
      </c>
      <c r="L10" s="60"/>
      <c r="M10" s="71">
        <f>MAX(M8:M9)</f>
        <v>185</v>
      </c>
      <c r="N10" s="60"/>
      <c r="Z10" s="79" t="s">
        <v>287</v>
      </c>
      <c r="AA10" s="79" t="s">
        <v>288</v>
      </c>
      <c r="AC10" s="60"/>
      <c r="AD10" s="60"/>
      <c r="AE10" s="60"/>
      <c r="AF10" s="60"/>
      <c r="AG10" s="60"/>
      <c r="AH10" s="60"/>
      <c r="AI10" s="60"/>
      <c r="AJ10" s="62" t="s">
        <v>289</v>
      </c>
      <c r="AK10" s="63">
        <f>IF(AK3="FLEX",7,0)</f>
        <v>0</v>
      </c>
      <c r="AL10" s="60"/>
      <c r="AN10" s="80" t="s">
        <v>287</v>
      </c>
      <c r="AO10" s="81">
        <f>AO8</f>
        <v>0.4</v>
      </c>
      <c r="AP10" s="79" t="s">
        <v>112</v>
      </c>
      <c r="AQ10" s="79" t="str">
        <f t="shared" ref="AQ10:AQ22" si="0">IF($AO$6=1,AU11,IF($AO$6=2,AV11,IF($AO$6=3,AW11,IF($AO$6=4,AX11,IF($AO$6=5,AY11,IF($AO$6=6,AZ11,IF($AO$6=7,BA11,IF($AO$6=8,BB11))))))))</f>
        <v>EMT</v>
      </c>
      <c r="AR10" s="79" t="s">
        <v>112</v>
      </c>
      <c r="AS10" s="60"/>
      <c r="AT10" s="79"/>
      <c r="AU10" s="79">
        <v>1</v>
      </c>
      <c r="AV10" s="79">
        <v>2</v>
      </c>
      <c r="AW10" s="79">
        <v>3</v>
      </c>
      <c r="AX10" s="79">
        <v>4</v>
      </c>
      <c r="AY10" s="79">
        <v>5</v>
      </c>
      <c r="AZ10" s="79">
        <v>6</v>
      </c>
      <c r="BA10" s="79">
        <v>7</v>
      </c>
      <c r="BB10" s="79">
        <v>8</v>
      </c>
    </row>
    <row r="11" spans="1:54" ht="12" customHeight="1">
      <c r="B11" s="58" t="s">
        <v>290</v>
      </c>
      <c r="C11" s="59">
        <f>C8</f>
        <v>218</v>
      </c>
      <c r="F11" s="82" t="s">
        <v>291</v>
      </c>
      <c r="G11" s="73" t="str">
        <f>C14</f>
        <v>N</v>
      </c>
      <c r="H11" s="60">
        <f>IF(G11="Y",1,IF(G11="N",0,"ERR"))</f>
        <v>0</v>
      </c>
      <c r="I11" s="60"/>
      <c r="J11" s="60"/>
      <c r="K11" s="60"/>
      <c r="L11" s="60"/>
      <c r="M11" s="60"/>
      <c r="N11" s="60"/>
      <c r="Z11" s="83" t="s">
        <v>293</v>
      </c>
      <c r="AA11" s="83" t="s">
        <v>294</v>
      </c>
      <c r="AC11" s="60"/>
      <c r="AD11" s="60"/>
      <c r="AE11" s="60"/>
      <c r="AF11" s="60"/>
      <c r="AG11" s="60"/>
      <c r="AH11" s="60"/>
      <c r="AI11" s="60"/>
      <c r="AJ11" s="62" t="s">
        <v>295</v>
      </c>
      <c r="AK11" s="63">
        <f>IF(AK3="LT-FLEX",8,0)</f>
        <v>0</v>
      </c>
      <c r="AL11" s="60"/>
      <c r="AN11" s="80" t="s">
        <v>296</v>
      </c>
      <c r="AO11" s="83" t="s">
        <v>297</v>
      </c>
      <c r="AP11" s="83" t="s">
        <v>108</v>
      </c>
      <c r="AQ11" s="83" t="str">
        <f t="shared" si="0"/>
        <v>AREA</v>
      </c>
      <c r="AR11" s="83" t="s">
        <v>108</v>
      </c>
      <c r="AS11" s="60"/>
      <c r="AT11" s="83" t="s">
        <v>108</v>
      </c>
      <c r="AU11" s="83" t="s">
        <v>298</v>
      </c>
      <c r="AV11" s="83" t="s">
        <v>299</v>
      </c>
      <c r="AW11" s="83" t="s">
        <v>300</v>
      </c>
      <c r="AX11" s="83" t="s">
        <v>301</v>
      </c>
      <c r="AY11" s="83" t="s">
        <v>302</v>
      </c>
      <c r="AZ11" s="83" t="s">
        <v>303</v>
      </c>
      <c r="BA11" s="83" t="s">
        <v>304</v>
      </c>
      <c r="BB11" s="83" t="s">
        <v>305</v>
      </c>
    </row>
    <row r="12" spans="1:54" ht="12" customHeight="1">
      <c r="B12" s="58" t="s">
        <v>306</v>
      </c>
      <c r="C12" s="58">
        <f>ROUND(C11/2,0)</f>
        <v>109</v>
      </c>
      <c r="F12" s="84" t="s">
        <v>143</v>
      </c>
      <c r="G12" s="75"/>
      <c r="H12" s="60">
        <f>H10+H11</f>
        <v>4</v>
      </c>
      <c r="I12" s="60"/>
      <c r="J12" s="60"/>
      <c r="K12" s="60"/>
      <c r="L12" s="60"/>
      <c r="M12" s="60"/>
      <c r="N12" s="60"/>
      <c r="Z12" s="83" t="s">
        <v>167</v>
      </c>
      <c r="AA12" s="83" t="s">
        <v>307</v>
      </c>
      <c r="AC12" s="60"/>
      <c r="AD12" s="60"/>
      <c r="AE12" s="60"/>
      <c r="AF12" s="60"/>
      <c r="AG12" s="60"/>
      <c r="AH12" s="60"/>
      <c r="AI12" s="60"/>
      <c r="AJ12" s="85" t="s">
        <v>308</v>
      </c>
      <c r="AK12" s="86">
        <f>MAX(AK4:AK11)</f>
        <v>3</v>
      </c>
      <c r="AL12" s="60"/>
      <c r="AN12" s="80"/>
      <c r="AO12" s="83"/>
      <c r="AP12" s="83"/>
      <c r="AQ12" s="83" t="str">
        <f t="shared" si="0"/>
        <v>SQ IN</v>
      </c>
      <c r="AR12" s="83"/>
      <c r="AS12" s="60"/>
      <c r="AT12" s="83"/>
      <c r="AU12" s="83" t="s">
        <v>309</v>
      </c>
      <c r="AV12" s="83" t="s">
        <v>309</v>
      </c>
      <c r="AW12" s="83" t="s">
        <v>309</v>
      </c>
      <c r="AX12" s="83" t="s">
        <v>309</v>
      </c>
      <c r="AY12" s="83" t="s">
        <v>309</v>
      </c>
      <c r="AZ12" s="83" t="s">
        <v>309</v>
      </c>
      <c r="BA12" s="83" t="s">
        <v>309</v>
      </c>
      <c r="BB12" s="83" t="s">
        <v>309</v>
      </c>
    </row>
    <row r="13" spans="1:54" ht="12" customHeight="1">
      <c r="B13" s="58" t="s">
        <v>310</v>
      </c>
      <c r="C13" s="533">
        <f>'Com Loads'!N35</f>
        <v>0</v>
      </c>
      <c r="F13" s="84"/>
      <c r="G13" s="75"/>
      <c r="H13" s="60"/>
      <c r="I13" s="60"/>
      <c r="J13" s="60"/>
      <c r="K13" s="60"/>
      <c r="Z13" s="83">
        <v>0</v>
      </c>
      <c r="AA13" s="83">
        <v>60</v>
      </c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N13" s="80">
        <v>0</v>
      </c>
      <c r="AO13" s="88">
        <f t="shared" ref="AO13:AO22" si="1">AQ13*AO$10</f>
        <v>0.1216</v>
      </c>
      <c r="AP13" s="83">
        <v>0.5</v>
      </c>
      <c r="AQ13" s="89">
        <f t="shared" si="0"/>
        <v>0.30399999999999999</v>
      </c>
      <c r="AR13" s="83">
        <v>0.5</v>
      </c>
      <c r="AS13" s="60"/>
      <c r="AT13" s="90"/>
      <c r="AU13" s="90" t="s">
        <v>311</v>
      </c>
      <c r="AV13" s="90" t="s">
        <v>311</v>
      </c>
      <c r="AW13" s="90" t="s">
        <v>311</v>
      </c>
      <c r="AX13" s="90" t="s">
        <v>311</v>
      </c>
      <c r="AY13" s="90" t="s">
        <v>311</v>
      </c>
      <c r="AZ13" s="90" t="s">
        <v>311</v>
      </c>
      <c r="BA13" s="90" t="s">
        <v>311</v>
      </c>
      <c r="BB13" s="90" t="s">
        <v>311</v>
      </c>
    </row>
    <row r="14" spans="1:54" ht="12" customHeight="1">
      <c r="C14" s="60" t="str">
        <f>IF(C11=0,"N",IF(C13&lt;C12,"N","Y"))</f>
        <v>N</v>
      </c>
      <c r="F14" s="69"/>
      <c r="G14" s="69"/>
      <c r="H14" s="60"/>
      <c r="I14" s="60"/>
      <c r="J14" s="60"/>
      <c r="K14" s="60"/>
      <c r="Z14" s="83">
        <f t="shared" ref="Z14:Z34" si="2">AA13+0.00001</f>
        <v>60.000010000000003</v>
      </c>
      <c r="AA14" s="83">
        <v>70</v>
      </c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N14" s="80">
        <f t="shared" ref="AN14:AN22" si="3">AO13+0.0000000001</f>
        <v>0.12160000009999999</v>
      </c>
      <c r="AO14" s="88">
        <f t="shared" si="1"/>
        <v>0.21320000000000003</v>
      </c>
      <c r="AP14" s="83">
        <v>0.75</v>
      </c>
      <c r="AQ14" s="89">
        <f t="shared" si="0"/>
        <v>0.53300000000000003</v>
      </c>
      <c r="AR14" s="83">
        <v>0.75</v>
      </c>
      <c r="AS14" s="60"/>
      <c r="AT14" s="83">
        <v>0.5</v>
      </c>
      <c r="AU14" s="89">
        <v>0.28499999999999998</v>
      </c>
      <c r="AV14" s="89">
        <v>0.314</v>
      </c>
      <c r="AW14" s="89">
        <v>0.30399999999999999</v>
      </c>
      <c r="AX14" s="89">
        <v>0.34200000000000003</v>
      </c>
      <c r="AY14" s="89">
        <v>0.28499999999999998</v>
      </c>
      <c r="AZ14" s="89">
        <v>0.30399999999999999</v>
      </c>
      <c r="BA14" s="89">
        <v>0.317</v>
      </c>
      <c r="BB14" s="89">
        <v>0.314</v>
      </c>
    </row>
    <row r="15" spans="1:54" ht="12" customHeight="1">
      <c r="F15" s="91" t="s">
        <v>287</v>
      </c>
      <c r="G15" s="69"/>
      <c r="H15" s="60"/>
      <c r="I15" s="91" t="s">
        <v>312</v>
      </c>
      <c r="J15" s="91" t="s">
        <v>313</v>
      </c>
      <c r="K15" s="79" t="s">
        <v>314</v>
      </c>
      <c r="L15" s="79" t="s">
        <v>314</v>
      </c>
      <c r="M15" s="79" t="s">
        <v>314</v>
      </c>
      <c r="N15" s="79" t="s">
        <v>315</v>
      </c>
      <c r="O15" s="79" t="s">
        <v>316</v>
      </c>
      <c r="P15" s="79" t="s">
        <v>317</v>
      </c>
      <c r="R15" s="69" t="s">
        <v>318</v>
      </c>
      <c r="Z15" s="83">
        <f t="shared" si="2"/>
        <v>70.000010000000003</v>
      </c>
      <c r="AA15" s="83">
        <v>80</v>
      </c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N15" s="80">
        <f t="shared" si="3"/>
        <v>0.21320000010000004</v>
      </c>
      <c r="AO15" s="88">
        <f t="shared" si="1"/>
        <v>0.34560000000000002</v>
      </c>
      <c r="AP15" s="83">
        <v>1</v>
      </c>
      <c r="AQ15" s="89">
        <f t="shared" si="0"/>
        <v>0.86399999999999999</v>
      </c>
      <c r="AR15" s="83">
        <v>1</v>
      </c>
      <c r="AS15" s="60"/>
      <c r="AT15" s="83">
        <v>0.75</v>
      </c>
      <c r="AU15" s="89">
        <v>0.50800000000000001</v>
      </c>
      <c r="AV15" s="89">
        <v>0.54900000000000004</v>
      </c>
      <c r="AW15" s="89">
        <v>0.53300000000000003</v>
      </c>
      <c r="AX15" s="89">
        <v>0.58599999999999997</v>
      </c>
      <c r="AY15" s="89">
        <v>0.50800000000000001</v>
      </c>
      <c r="AZ15" s="89">
        <v>0.53300000000000003</v>
      </c>
      <c r="BA15" s="89">
        <v>0.53300000000000003</v>
      </c>
      <c r="BB15" s="89">
        <v>0.54100000000000004</v>
      </c>
    </row>
    <row r="16" spans="1:54" ht="12" customHeight="1">
      <c r="F16" s="92" t="s">
        <v>314</v>
      </c>
      <c r="G16" s="69"/>
      <c r="H16" s="60"/>
      <c r="I16" s="92" t="s">
        <v>314</v>
      </c>
      <c r="J16" s="92" t="s">
        <v>314</v>
      </c>
      <c r="K16" s="83" t="s">
        <v>108</v>
      </c>
      <c r="L16" s="83" t="s">
        <v>108</v>
      </c>
      <c r="M16" s="83" t="s">
        <v>319</v>
      </c>
      <c r="N16" s="83" t="s">
        <v>167</v>
      </c>
      <c r="O16" s="83" t="s">
        <v>167</v>
      </c>
      <c r="P16" s="83" t="s">
        <v>167</v>
      </c>
      <c r="R16" s="79" t="s">
        <v>314</v>
      </c>
      <c r="S16" s="79" t="s">
        <v>315</v>
      </c>
      <c r="T16" s="79" t="s">
        <v>316</v>
      </c>
      <c r="U16" s="79" t="s">
        <v>317</v>
      </c>
      <c r="V16" s="79" t="s">
        <v>315</v>
      </c>
      <c r="W16" s="79" t="s">
        <v>316</v>
      </c>
      <c r="X16" s="79" t="s">
        <v>317</v>
      </c>
      <c r="Z16" s="83">
        <f t="shared" si="2"/>
        <v>80.000010000000003</v>
      </c>
      <c r="AA16" s="83">
        <v>90</v>
      </c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N16" s="80">
        <f t="shared" si="3"/>
        <v>0.34560000010000003</v>
      </c>
      <c r="AO16" s="88">
        <f t="shared" si="1"/>
        <v>0.59840000000000004</v>
      </c>
      <c r="AP16" s="83">
        <v>1.25</v>
      </c>
      <c r="AQ16" s="89">
        <f t="shared" si="0"/>
        <v>1.496</v>
      </c>
      <c r="AR16" s="83">
        <v>1.25</v>
      </c>
      <c r="AS16" s="60"/>
      <c r="AT16" s="83">
        <v>1</v>
      </c>
      <c r="AU16" s="89">
        <v>0.81699999999999995</v>
      </c>
      <c r="AV16" s="89">
        <v>0.88800000000000001</v>
      </c>
      <c r="AW16" s="89">
        <v>0.86399999999999999</v>
      </c>
      <c r="AX16" s="89">
        <v>0.95899999999999996</v>
      </c>
      <c r="AY16" s="89">
        <v>0.83199999999999996</v>
      </c>
      <c r="AZ16" s="89">
        <v>0.86399999999999999</v>
      </c>
      <c r="BA16" s="89">
        <v>0.81699999999999995</v>
      </c>
      <c r="BB16" s="89">
        <v>0.872</v>
      </c>
    </row>
    <row r="17" spans="3:54" ht="12" customHeight="1">
      <c r="F17" s="92" t="s">
        <v>167</v>
      </c>
      <c r="G17" s="69"/>
      <c r="H17" s="60"/>
      <c r="I17" s="92" t="s">
        <v>167</v>
      </c>
      <c r="J17" s="92" t="s">
        <v>167</v>
      </c>
      <c r="K17" s="83" t="s">
        <v>320</v>
      </c>
      <c r="L17" s="83" t="s">
        <v>321</v>
      </c>
      <c r="M17" s="83" t="s">
        <v>41</v>
      </c>
      <c r="N17" s="83" t="str">
        <f t="shared" ref="N17:N31" si="4">IF($G$6="CU",S18,IF($G$6="AL",V18,"ERR"))</f>
        <v>AL</v>
      </c>
      <c r="O17" s="83" t="str">
        <f t="shared" ref="O17:O31" si="5">IF($G$6="CU",T18,IF($G$6="AL",W18,"ERR"))</f>
        <v>AL</v>
      </c>
      <c r="P17" s="83" t="str">
        <f t="shared" ref="P17:P31" si="6">IF($G$6="CU",U18,IF($G$6="AL",X18,"ERR"))</f>
        <v>AL</v>
      </c>
      <c r="R17" s="83" t="s">
        <v>108</v>
      </c>
      <c r="S17" s="83" t="s">
        <v>167</v>
      </c>
      <c r="T17" s="83" t="s">
        <v>167</v>
      </c>
      <c r="U17" s="83" t="s">
        <v>167</v>
      </c>
      <c r="V17" s="83" t="s">
        <v>167</v>
      </c>
      <c r="W17" s="83" t="s">
        <v>167</v>
      </c>
      <c r="X17" s="83" t="s">
        <v>167</v>
      </c>
      <c r="Z17" s="83">
        <f t="shared" si="2"/>
        <v>90.000010000000003</v>
      </c>
      <c r="AA17" s="83">
        <v>100</v>
      </c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N17" s="80">
        <f t="shared" si="3"/>
        <v>0.59840000010000005</v>
      </c>
      <c r="AO17" s="88">
        <f t="shared" si="1"/>
        <v>0.81440000000000001</v>
      </c>
      <c r="AP17" s="83">
        <v>1.5</v>
      </c>
      <c r="AQ17" s="89">
        <f t="shared" si="0"/>
        <v>2.036</v>
      </c>
      <c r="AR17" s="83">
        <v>1.5</v>
      </c>
      <c r="AS17" s="60"/>
      <c r="AT17" s="83">
        <v>1.25</v>
      </c>
      <c r="AU17" s="89">
        <v>1.2769999999999999</v>
      </c>
      <c r="AV17" s="89">
        <v>1.526</v>
      </c>
      <c r="AW17" s="89">
        <v>1.496</v>
      </c>
      <c r="AX17" s="89">
        <v>1.6459999999999999</v>
      </c>
      <c r="AY17" s="89">
        <v>1.4530000000000001</v>
      </c>
      <c r="AZ17" s="89">
        <v>1.4950000000000001</v>
      </c>
      <c r="BA17" s="89">
        <v>1.2769999999999999</v>
      </c>
      <c r="BB17" s="89">
        <v>1.528</v>
      </c>
    </row>
    <row r="18" spans="3:54" ht="12" customHeight="1">
      <c r="F18" s="79">
        <v>0</v>
      </c>
      <c r="G18" s="69"/>
      <c r="H18" s="60"/>
      <c r="I18" s="79">
        <f t="shared" ref="I18:I49" si="7">IF($H$12=3,J18,IF($H$12=4,J18,IF($H$12=5,(J18*0.8),"ERR")))</f>
        <v>50</v>
      </c>
      <c r="J18" s="79">
        <f t="shared" ref="J18:J31" si="8">IF($G$7=60,N18,IF($G$7=75,O18,IF($G$7=90,P18,"ERR")))</f>
        <v>50</v>
      </c>
      <c r="K18" s="79" t="s">
        <v>322</v>
      </c>
      <c r="L18" s="79">
        <v>5</v>
      </c>
      <c r="M18" s="79">
        <v>1</v>
      </c>
      <c r="N18" s="79">
        <f t="shared" si="4"/>
        <v>40</v>
      </c>
      <c r="O18" s="79">
        <f t="shared" si="5"/>
        <v>50</v>
      </c>
      <c r="P18" s="79">
        <f t="shared" si="6"/>
        <v>60</v>
      </c>
      <c r="R18" s="83" t="s">
        <v>320</v>
      </c>
      <c r="S18" s="83" t="s">
        <v>323</v>
      </c>
      <c r="T18" s="83" t="s">
        <v>323</v>
      </c>
      <c r="U18" s="83" t="s">
        <v>323</v>
      </c>
      <c r="V18" s="83" t="s">
        <v>324</v>
      </c>
      <c r="W18" s="83" t="s">
        <v>324</v>
      </c>
      <c r="X18" s="83" t="s">
        <v>324</v>
      </c>
      <c r="Z18" s="83">
        <f t="shared" si="2"/>
        <v>100.00001</v>
      </c>
      <c r="AA18" s="83">
        <v>110</v>
      </c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N18" s="80">
        <f t="shared" si="3"/>
        <v>0.81440000010000002</v>
      </c>
      <c r="AO18" s="88">
        <f t="shared" si="1"/>
        <v>1.3424</v>
      </c>
      <c r="AP18" s="83">
        <v>2</v>
      </c>
      <c r="AQ18" s="89">
        <f t="shared" si="0"/>
        <v>3.3559999999999999</v>
      </c>
      <c r="AR18" s="83">
        <v>2</v>
      </c>
      <c r="AS18" s="60"/>
      <c r="AT18" s="83">
        <v>1.5</v>
      </c>
      <c r="AU18" s="89">
        <v>1.857</v>
      </c>
      <c r="AV18" s="89">
        <v>2.0710000000000002</v>
      </c>
      <c r="AW18" s="89">
        <v>2.036</v>
      </c>
      <c r="AX18" s="89">
        <v>2.2229999999999999</v>
      </c>
      <c r="AY18" s="89">
        <v>1.986</v>
      </c>
      <c r="AZ18" s="89">
        <v>2.036</v>
      </c>
      <c r="BA18" s="89">
        <v>1.857</v>
      </c>
      <c r="BB18" s="89">
        <v>1.9790000000000001</v>
      </c>
    </row>
    <row r="19" spans="3:54" ht="12" customHeight="1">
      <c r="F19" s="83">
        <f t="shared" ref="F19:F49" si="9">I18+0.00001</f>
        <v>50.000010000000003</v>
      </c>
      <c r="G19" s="69"/>
      <c r="H19" s="60"/>
      <c r="I19" s="83">
        <f t="shared" si="7"/>
        <v>65</v>
      </c>
      <c r="J19" s="83">
        <f t="shared" si="8"/>
        <v>65</v>
      </c>
      <c r="K19" s="83" t="s">
        <v>325</v>
      </c>
      <c r="L19" s="83">
        <v>6</v>
      </c>
      <c r="M19" s="83">
        <v>1</v>
      </c>
      <c r="N19" s="83">
        <f t="shared" si="4"/>
        <v>55</v>
      </c>
      <c r="O19" s="83">
        <f t="shared" si="5"/>
        <v>65</v>
      </c>
      <c r="P19" s="83">
        <f t="shared" si="6"/>
        <v>75</v>
      </c>
      <c r="R19" s="79" t="s">
        <v>322</v>
      </c>
      <c r="S19" s="79">
        <v>55</v>
      </c>
      <c r="T19" s="79">
        <v>65</v>
      </c>
      <c r="U19" s="79">
        <v>75</v>
      </c>
      <c r="V19" s="79">
        <v>40</v>
      </c>
      <c r="W19" s="79">
        <v>50</v>
      </c>
      <c r="X19" s="79">
        <v>60</v>
      </c>
      <c r="Z19" s="83">
        <f t="shared" si="2"/>
        <v>110.00001</v>
      </c>
      <c r="AA19" s="83">
        <v>125</v>
      </c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N19" s="80">
        <f t="shared" si="3"/>
        <v>1.3424000001</v>
      </c>
      <c r="AO19" s="88">
        <f t="shared" si="1"/>
        <v>2.3431999999999999</v>
      </c>
      <c r="AP19" s="83">
        <v>2.5</v>
      </c>
      <c r="AQ19" s="89">
        <f t="shared" si="0"/>
        <v>5.8579999999999997</v>
      </c>
      <c r="AR19" s="83">
        <v>2.5</v>
      </c>
      <c r="AS19" s="60"/>
      <c r="AT19" s="83">
        <v>2</v>
      </c>
      <c r="AU19" s="89">
        <v>3.2450000000000001</v>
      </c>
      <c r="AV19" s="89">
        <v>3.4079999999999999</v>
      </c>
      <c r="AW19" s="89">
        <v>3.3559999999999999</v>
      </c>
      <c r="AX19" s="89">
        <v>3.629</v>
      </c>
      <c r="AY19" s="89">
        <v>3.2909999999999999</v>
      </c>
      <c r="AZ19" s="89">
        <v>3.355</v>
      </c>
      <c r="BA19" s="89">
        <v>3.2690000000000001</v>
      </c>
      <c r="BB19" s="89">
        <v>3.2450000000000001</v>
      </c>
    </row>
    <row r="20" spans="3:54" ht="12" customHeight="1">
      <c r="F20" s="83">
        <f t="shared" si="9"/>
        <v>65.000010000000003</v>
      </c>
      <c r="G20" s="69"/>
      <c r="H20" s="60"/>
      <c r="I20" s="83">
        <f t="shared" si="7"/>
        <v>75</v>
      </c>
      <c r="J20" s="83">
        <f t="shared" si="8"/>
        <v>75</v>
      </c>
      <c r="K20" s="83" t="str">
        <f>IF(G6="AL",K19,"#3")</f>
        <v>#4</v>
      </c>
      <c r="L20" s="83">
        <f>IF(G6="AL",L19,7)</f>
        <v>6</v>
      </c>
      <c r="M20" s="83">
        <f>IF(G6="AL",M19,1)</f>
        <v>1</v>
      </c>
      <c r="N20" s="83">
        <f t="shared" si="4"/>
        <v>65</v>
      </c>
      <c r="O20" s="83">
        <f t="shared" si="5"/>
        <v>75</v>
      </c>
      <c r="P20" s="83">
        <f t="shared" si="6"/>
        <v>85</v>
      </c>
      <c r="R20" s="83" t="s">
        <v>325</v>
      </c>
      <c r="S20" s="83">
        <v>70</v>
      </c>
      <c r="T20" s="83">
        <v>85</v>
      </c>
      <c r="U20" s="83">
        <v>95</v>
      </c>
      <c r="V20" s="83">
        <v>55</v>
      </c>
      <c r="W20" s="83">
        <v>65</v>
      </c>
      <c r="X20" s="83">
        <v>75</v>
      </c>
      <c r="Z20" s="83">
        <f t="shared" si="2"/>
        <v>125.00001</v>
      </c>
      <c r="AA20" s="83">
        <v>150</v>
      </c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N20" s="80">
        <f t="shared" si="3"/>
        <v>2.3432000001</v>
      </c>
      <c r="AO20" s="88">
        <f t="shared" si="1"/>
        <v>3.5384000000000002</v>
      </c>
      <c r="AP20" s="83">
        <v>3</v>
      </c>
      <c r="AQ20" s="89">
        <f t="shared" si="0"/>
        <v>8.8460000000000001</v>
      </c>
      <c r="AR20" s="83">
        <v>3</v>
      </c>
      <c r="AS20" s="60"/>
      <c r="AT20" s="83">
        <v>2.5</v>
      </c>
      <c r="AU20" s="89">
        <v>4.6950000000000003</v>
      </c>
      <c r="AV20" s="89">
        <v>4.8659999999999997</v>
      </c>
      <c r="AW20" s="89">
        <v>5.8579999999999997</v>
      </c>
      <c r="AX20" s="89">
        <v>5.1349999999999998</v>
      </c>
      <c r="AY20" s="89">
        <v>4.6950000000000003</v>
      </c>
      <c r="AZ20" s="89">
        <v>4.7880000000000003</v>
      </c>
      <c r="BA20" s="89">
        <v>4.9089999999999998</v>
      </c>
      <c r="BB20" s="89">
        <v>4.8789999999999996</v>
      </c>
    </row>
    <row r="21" spans="3:54" ht="12" customHeight="1">
      <c r="F21" s="83">
        <f t="shared" si="9"/>
        <v>75.000010000000003</v>
      </c>
      <c r="G21" s="69"/>
      <c r="H21" s="60"/>
      <c r="I21" s="83">
        <f t="shared" si="7"/>
        <v>90</v>
      </c>
      <c r="J21" s="83">
        <f t="shared" si="8"/>
        <v>90</v>
      </c>
      <c r="K21" s="83" t="s">
        <v>326</v>
      </c>
      <c r="L21" s="83">
        <v>8</v>
      </c>
      <c r="M21" s="83">
        <v>1</v>
      </c>
      <c r="N21" s="83">
        <f t="shared" si="4"/>
        <v>75</v>
      </c>
      <c r="O21" s="83">
        <f t="shared" si="5"/>
        <v>90</v>
      </c>
      <c r="P21" s="83">
        <f t="shared" si="6"/>
        <v>100</v>
      </c>
      <c r="R21" s="83" t="s">
        <v>327</v>
      </c>
      <c r="S21" s="83">
        <v>85</v>
      </c>
      <c r="T21" s="83">
        <v>100</v>
      </c>
      <c r="U21" s="83">
        <v>110</v>
      </c>
      <c r="V21" s="83">
        <v>65</v>
      </c>
      <c r="W21" s="83">
        <v>75</v>
      </c>
      <c r="X21" s="83">
        <v>85</v>
      </c>
      <c r="Z21" s="83">
        <f t="shared" si="2"/>
        <v>150.00001</v>
      </c>
      <c r="AA21" s="83">
        <v>175</v>
      </c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N21" s="80">
        <f t="shared" si="3"/>
        <v>3.5384000001000002</v>
      </c>
      <c r="AO21" s="88">
        <f t="shared" si="1"/>
        <v>4.6180000000000003</v>
      </c>
      <c r="AP21" s="83">
        <v>3.5</v>
      </c>
      <c r="AQ21" s="89">
        <f t="shared" si="0"/>
        <v>11.545</v>
      </c>
      <c r="AR21" s="83">
        <v>3.5</v>
      </c>
      <c r="AS21" s="60"/>
      <c r="AT21" s="83">
        <v>3</v>
      </c>
      <c r="AU21" s="89">
        <v>7.069</v>
      </c>
      <c r="AV21" s="89">
        <v>7.4989999999999997</v>
      </c>
      <c r="AW21" s="89">
        <v>8.8460000000000001</v>
      </c>
      <c r="AX21" s="89">
        <v>7.9219999999999997</v>
      </c>
      <c r="AY21" s="89">
        <v>7.2679999999999998</v>
      </c>
      <c r="AZ21" s="89">
        <v>7.3929999999999998</v>
      </c>
      <c r="BA21" s="89">
        <v>7.069</v>
      </c>
      <c r="BB21" s="89">
        <v>7.4749999999999996</v>
      </c>
    </row>
    <row r="22" spans="3:54" ht="12" customHeight="1">
      <c r="F22" s="83">
        <f t="shared" si="9"/>
        <v>90.000010000000003</v>
      </c>
      <c r="G22" s="69"/>
      <c r="H22" s="60"/>
      <c r="I22" s="83">
        <f t="shared" si="7"/>
        <v>100</v>
      </c>
      <c r="J22" s="83">
        <f t="shared" si="8"/>
        <v>100</v>
      </c>
      <c r="K22" s="83" t="s">
        <v>328</v>
      </c>
      <c r="L22" s="83">
        <v>9</v>
      </c>
      <c r="M22" s="83">
        <v>1</v>
      </c>
      <c r="N22" s="83">
        <f t="shared" si="4"/>
        <v>85</v>
      </c>
      <c r="O22" s="83">
        <f t="shared" si="5"/>
        <v>100</v>
      </c>
      <c r="P22" s="83">
        <f t="shared" si="6"/>
        <v>115</v>
      </c>
      <c r="R22" s="83" t="s">
        <v>326</v>
      </c>
      <c r="S22" s="83">
        <v>95</v>
      </c>
      <c r="T22" s="83">
        <v>115</v>
      </c>
      <c r="U22" s="83">
        <v>130</v>
      </c>
      <c r="V22" s="83">
        <v>75</v>
      </c>
      <c r="W22" s="83">
        <v>90</v>
      </c>
      <c r="X22" s="83">
        <v>100</v>
      </c>
      <c r="Z22" s="83">
        <f t="shared" si="2"/>
        <v>175.00001</v>
      </c>
      <c r="AA22" s="83">
        <v>200</v>
      </c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N22" s="80">
        <f t="shared" si="3"/>
        <v>4.6180000001000003</v>
      </c>
      <c r="AO22" s="93">
        <f t="shared" si="1"/>
        <v>5.9012000000000002</v>
      </c>
      <c r="AP22" s="90">
        <v>4</v>
      </c>
      <c r="AQ22" s="94">
        <f t="shared" si="0"/>
        <v>14.753</v>
      </c>
      <c r="AR22" s="90">
        <v>4</v>
      </c>
      <c r="AS22" s="60"/>
      <c r="AT22" s="83">
        <v>3.5</v>
      </c>
      <c r="AU22" s="89">
        <v>9.6210000000000004</v>
      </c>
      <c r="AV22" s="89">
        <v>10.01</v>
      </c>
      <c r="AW22" s="89">
        <v>11.545</v>
      </c>
      <c r="AX22" s="89">
        <v>10.584</v>
      </c>
      <c r="AY22" s="89">
        <v>9.7370000000000001</v>
      </c>
      <c r="AZ22" s="89">
        <v>9.8659999999999997</v>
      </c>
      <c r="BA22" s="89">
        <v>9.6210000000000004</v>
      </c>
      <c r="BB22" s="89">
        <v>9.7309999999999999</v>
      </c>
    </row>
    <row r="23" spans="3:54" ht="12" customHeight="1">
      <c r="F23" s="83">
        <f t="shared" si="9"/>
        <v>100.00001</v>
      </c>
      <c r="G23" s="69"/>
      <c r="H23" s="60"/>
      <c r="I23" s="83">
        <f t="shared" si="7"/>
        <v>120</v>
      </c>
      <c r="J23" s="83">
        <f t="shared" si="8"/>
        <v>120</v>
      </c>
      <c r="K23" s="83" t="s">
        <v>329</v>
      </c>
      <c r="L23" s="83">
        <v>10</v>
      </c>
      <c r="M23" s="83">
        <v>1</v>
      </c>
      <c r="N23" s="83">
        <f t="shared" si="4"/>
        <v>100</v>
      </c>
      <c r="O23" s="83">
        <f t="shared" si="5"/>
        <v>120</v>
      </c>
      <c r="P23" s="83">
        <f t="shared" si="6"/>
        <v>135</v>
      </c>
      <c r="R23" s="83" t="s">
        <v>328</v>
      </c>
      <c r="S23" s="83">
        <v>110</v>
      </c>
      <c r="T23" s="83">
        <v>130</v>
      </c>
      <c r="U23" s="83">
        <v>150</v>
      </c>
      <c r="V23" s="83">
        <v>85</v>
      </c>
      <c r="W23" s="83">
        <v>100</v>
      </c>
      <c r="X23" s="83">
        <v>115</v>
      </c>
      <c r="Z23" s="83">
        <f t="shared" si="2"/>
        <v>200.00001</v>
      </c>
      <c r="AA23" s="83">
        <v>225</v>
      </c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N23" s="60"/>
      <c r="AO23" s="60"/>
      <c r="AP23" s="60"/>
      <c r="AQ23" s="60"/>
      <c r="AR23" s="60"/>
      <c r="AS23" s="60"/>
      <c r="AT23" s="90">
        <v>4</v>
      </c>
      <c r="AU23" s="94">
        <v>12.554</v>
      </c>
      <c r="AV23" s="94">
        <v>12.833</v>
      </c>
      <c r="AW23" s="94">
        <v>14.753</v>
      </c>
      <c r="AX23" s="94">
        <v>13.631</v>
      </c>
      <c r="AY23" s="94">
        <v>12.554</v>
      </c>
      <c r="AZ23" s="94">
        <v>12.73</v>
      </c>
      <c r="BA23" s="94">
        <v>12.566000000000001</v>
      </c>
      <c r="BB23" s="94">
        <v>12.692</v>
      </c>
    </row>
    <row r="24" spans="3:54" ht="12" customHeight="1">
      <c r="F24" s="83">
        <f t="shared" si="9"/>
        <v>120.00001</v>
      </c>
      <c r="G24" s="69"/>
      <c r="H24" s="60"/>
      <c r="I24" s="83">
        <f t="shared" si="7"/>
        <v>135</v>
      </c>
      <c r="J24" s="83">
        <f t="shared" si="8"/>
        <v>135</v>
      </c>
      <c r="K24" s="83" t="s">
        <v>330</v>
      </c>
      <c r="L24" s="83">
        <v>11</v>
      </c>
      <c r="M24" s="83">
        <v>1</v>
      </c>
      <c r="N24" s="83">
        <f t="shared" si="4"/>
        <v>115</v>
      </c>
      <c r="O24" s="83">
        <f t="shared" si="5"/>
        <v>135</v>
      </c>
      <c r="P24" s="83">
        <f t="shared" si="6"/>
        <v>150</v>
      </c>
      <c r="R24" s="83" t="s">
        <v>329</v>
      </c>
      <c r="S24" s="83">
        <v>125</v>
      </c>
      <c r="T24" s="83">
        <v>150</v>
      </c>
      <c r="U24" s="83">
        <v>170</v>
      </c>
      <c r="V24" s="83">
        <v>100</v>
      </c>
      <c r="W24" s="83">
        <v>120</v>
      </c>
      <c r="X24" s="83">
        <v>135</v>
      </c>
      <c r="Z24" s="83">
        <f t="shared" si="2"/>
        <v>225.00001</v>
      </c>
      <c r="AA24" s="83">
        <v>250</v>
      </c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N24" s="95" t="s">
        <v>331</v>
      </c>
      <c r="AO24" s="96">
        <f>IF(AJ84=0,"NOT USED",VLOOKUP(AO7,AN10:AR22,3))</f>
        <v>2.5</v>
      </c>
      <c r="AP24" s="69" t="s">
        <v>332</v>
      </c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</row>
    <row r="25" spans="3:54" ht="12" customHeight="1">
      <c r="F25" s="83">
        <f t="shared" si="9"/>
        <v>135.00001</v>
      </c>
      <c r="G25" s="69"/>
      <c r="H25" s="60"/>
      <c r="I25" s="83">
        <f t="shared" si="7"/>
        <v>155</v>
      </c>
      <c r="J25" s="83">
        <f t="shared" si="8"/>
        <v>155</v>
      </c>
      <c r="K25" s="83" t="s">
        <v>333</v>
      </c>
      <c r="L25" s="83">
        <v>12</v>
      </c>
      <c r="M25" s="83">
        <v>1</v>
      </c>
      <c r="N25" s="83">
        <f t="shared" si="4"/>
        <v>130</v>
      </c>
      <c r="O25" s="83">
        <f t="shared" si="5"/>
        <v>155</v>
      </c>
      <c r="P25" s="83">
        <f t="shared" si="6"/>
        <v>175</v>
      </c>
      <c r="R25" s="83" t="s">
        <v>330</v>
      </c>
      <c r="S25" s="83">
        <v>145</v>
      </c>
      <c r="T25" s="83">
        <v>175</v>
      </c>
      <c r="U25" s="83">
        <v>195</v>
      </c>
      <c r="V25" s="83">
        <v>115</v>
      </c>
      <c r="W25" s="83">
        <v>135</v>
      </c>
      <c r="X25" s="83">
        <v>150</v>
      </c>
      <c r="Z25" s="83">
        <f t="shared" si="2"/>
        <v>250.00001</v>
      </c>
      <c r="AA25" s="83">
        <v>300</v>
      </c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N25" s="97" t="s">
        <v>269</v>
      </c>
      <c r="AO25" s="98" t="str">
        <f>AQ10</f>
        <v>EMT</v>
      </c>
      <c r="AP25" s="69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</row>
    <row r="26" spans="3:54" ht="12" customHeight="1">
      <c r="F26" s="83">
        <f t="shared" si="9"/>
        <v>155.00001</v>
      </c>
      <c r="G26" s="69"/>
      <c r="H26" s="60"/>
      <c r="I26" s="83">
        <f t="shared" si="7"/>
        <v>180</v>
      </c>
      <c r="J26" s="83">
        <f t="shared" si="8"/>
        <v>180</v>
      </c>
      <c r="K26" s="83" t="s">
        <v>334</v>
      </c>
      <c r="L26" s="83">
        <v>13</v>
      </c>
      <c r="M26" s="83">
        <v>1</v>
      </c>
      <c r="N26" s="83">
        <f t="shared" si="4"/>
        <v>150</v>
      </c>
      <c r="O26" s="83">
        <f t="shared" si="5"/>
        <v>180</v>
      </c>
      <c r="P26" s="83">
        <f t="shared" si="6"/>
        <v>205</v>
      </c>
      <c r="R26" s="83" t="s">
        <v>333</v>
      </c>
      <c r="S26" s="83">
        <v>165</v>
      </c>
      <c r="T26" s="83">
        <v>200</v>
      </c>
      <c r="U26" s="83">
        <v>225</v>
      </c>
      <c r="V26" s="83">
        <v>130</v>
      </c>
      <c r="W26" s="83">
        <v>155</v>
      </c>
      <c r="X26" s="83">
        <v>175</v>
      </c>
      <c r="Z26" s="83">
        <f t="shared" si="2"/>
        <v>300.00000999999997</v>
      </c>
      <c r="AA26" s="83">
        <v>350</v>
      </c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N26" s="95" t="s">
        <v>331</v>
      </c>
      <c r="AO26" s="96" t="str">
        <f>IF(AJ84&gt;0,"NOT USED",AO45)</f>
        <v>NOT USED</v>
      </c>
      <c r="AP26" s="69" t="s">
        <v>335</v>
      </c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</row>
    <row r="27" spans="3:54" ht="12" customHeight="1">
      <c r="F27" s="83">
        <f t="shared" si="9"/>
        <v>180.00001</v>
      </c>
      <c r="G27" s="69"/>
      <c r="H27" s="60"/>
      <c r="I27" s="83">
        <f t="shared" si="7"/>
        <v>205</v>
      </c>
      <c r="J27" s="83">
        <f t="shared" si="8"/>
        <v>205</v>
      </c>
      <c r="K27" s="83" t="s">
        <v>336</v>
      </c>
      <c r="L27" s="83">
        <v>14</v>
      </c>
      <c r="M27" s="83">
        <v>1</v>
      </c>
      <c r="N27" s="83">
        <f t="shared" si="4"/>
        <v>170</v>
      </c>
      <c r="O27" s="83">
        <f t="shared" si="5"/>
        <v>205</v>
      </c>
      <c r="P27" s="83">
        <f t="shared" si="6"/>
        <v>230</v>
      </c>
      <c r="R27" s="83" t="s">
        <v>334</v>
      </c>
      <c r="S27" s="83">
        <v>195</v>
      </c>
      <c r="T27" s="83">
        <v>230</v>
      </c>
      <c r="U27" s="83">
        <v>260</v>
      </c>
      <c r="V27" s="83">
        <v>150</v>
      </c>
      <c r="W27" s="83">
        <v>180</v>
      </c>
      <c r="X27" s="83">
        <v>205</v>
      </c>
      <c r="Z27" s="83">
        <f t="shared" si="2"/>
        <v>350.00000999999997</v>
      </c>
      <c r="AA27" s="83">
        <v>400</v>
      </c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N27" s="95" t="s">
        <v>331</v>
      </c>
      <c r="AO27" s="96">
        <f>IF(AJ84&gt;0,AO24,AO26)</f>
        <v>2.5</v>
      </c>
      <c r="AP27" s="69" t="str">
        <f>IF(AJ84&gt;0,"DIFFERENT SIZE WIRES","SAME SIZE WIRES")</f>
        <v>DIFFERENT SIZE WIRES</v>
      </c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</row>
    <row r="28" spans="3:54" ht="12" customHeight="1">
      <c r="F28" s="83">
        <f t="shared" si="9"/>
        <v>205.00001</v>
      </c>
      <c r="G28" s="69"/>
      <c r="H28" s="60"/>
      <c r="I28" s="83">
        <f t="shared" si="7"/>
        <v>230</v>
      </c>
      <c r="J28" s="83">
        <f t="shared" si="8"/>
        <v>230</v>
      </c>
      <c r="K28" s="83" t="s">
        <v>337</v>
      </c>
      <c r="L28" s="83">
        <v>15</v>
      </c>
      <c r="M28" s="83">
        <v>1</v>
      </c>
      <c r="N28" s="83">
        <f t="shared" si="4"/>
        <v>190</v>
      </c>
      <c r="O28" s="83">
        <f t="shared" si="5"/>
        <v>230</v>
      </c>
      <c r="P28" s="83">
        <f t="shared" si="6"/>
        <v>255</v>
      </c>
      <c r="R28" s="83" t="s">
        <v>336</v>
      </c>
      <c r="S28" s="83">
        <v>215</v>
      </c>
      <c r="T28" s="83">
        <v>255</v>
      </c>
      <c r="U28" s="83">
        <v>290</v>
      </c>
      <c r="V28" s="83">
        <v>170</v>
      </c>
      <c r="W28" s="83">
        <v>205</v>
      </c>
      <c r="X28" s="83">
        <v>230</v>
      </c>
      <c r="Z28" s="83">
        <f t="shared" si="2"/>
        <v>400.00000999999997</v>
      </c>
      <c r="AA28" s="83">
        <v>450</v>
      </c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N28" s="69" t="s">
        <v>338</v>
      </c>
      <c r="AO28" s="60">
        <f>AF84</f>
        <v>4</v>
      </c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</row>
    <row r="29" spans="3:54" ht="12" customHeight="1">
      <c r="F29" s="83">
        <f t="shared" si="9"/>
        <v>230.00001</v>
      </c>
      <c r="G29" s="69"/>
      <c r="H29" s="60"/>
      <c r="I29" s="83">
        <f t="shared" si="7"/>
        <v>250</v>
      </c>
      <c r="J29" s="83">
        <f t="shared" si="8"/>
        <v>250</v>
      </c>
      <c r="K29" s="83" t="s">
        <v>339</v>
      </c>
      <c r="L29" s="83">
        <v>16</v>
      </c>
      <c r="M29" s="83">
        <v>1</v>
      </c>
      <c r="N29" s="83">
        <f t="shared" si="4"/>
        <v>210</v>
      </c>
      <c r="O29" s="83">
        <f t="shared" si="5"/>
        <v>250</v>
      </c>
      <c r="P29" s="83">
        <f t="shared" si="6"/>
        <v>280</v>
      </c>
      <c r="R29" s="83" t="s">
        <v>337</v>
      </c>
      <c r="S29" s="83">
        <v>240</v>
      </c>
      <c r="T29" s="83">
        <v>285</v>
      </c>
      <c r="U29" s="83">
        <v>320</v>
      </c>
      <c r="V29" s="83">
        <v>190</v>
      </c>
      <c r="W29" s="83">
        <v>230</v>
      </c>
      <c r="X29" s="83">
        <v>255</v>
      </c>
      <c r="Z29" s="83">
        <f t="shared" si="2"/>
        <v>450.00000999999997</v>
      </c>
      <c r="AA29" s="83">
        <v>500</v>
      </c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</row>
    <row r="30" spans="3:54" ht="12" customHeight="1">
      <c r="C30" s="99" t="s">
        <v>331</v>
      </c>
      <c r="D30" s="100">
        <f>AO27</f>
        <v>2.5</v>
      </c>
      <c r="F30" s="83">
        <f t="shared" si="9"/>
        <v>250.00001</v>
      </c>
      <c r="G30" s="69"/>
      <c r="H30" s="60"/>
      <c r="I30" s="83">
        <f t="shared" si="7"/>
        <v>270</v>
      </c>
      <c r="J30" s="83">
        <f t="shared" si="8"/>
        <v>270</v>
      </c>
      <c r="K30" s="83" t="s">
        <v>340</v>
      </c>
      <c r="L30" s="83">
        <v>17</v>
      </c>
      <c r="M30" s="83">
        <v>1</v>
      </c>
      <c r="N30" s="83">
        <f t="shared" si="4"/>
        <v>225</v>
      </c>
      <c r="O30" s="83">
        <f t="shared" si="5"/>
        <v>270</v>
      </c>
      <c r="P30" s="83">
        <f t="shared" si="6"/>
        <v>305</v>
      </c>
      <c r="R30" s="83" t="s">
        <v>339</v>
      </c>
      <c r="S30" s="83">
        <v>260</v>
      </c>
      <c r="T30" s="83">
        <v>310</v>
      </c>
      <c r="U30" s="83">
        <v>350</v>
      </c>
      <c r="V30" s="83">
        <v>210</v>
      </c>
      <c r="W30" s="83">
        <v>250</v>
      </c>
      <c r="X30" s="83">
        <v>280</v>
      </c>
      <c r="Z30" s="83">
        <f t="shared" si="2"/>
        <v>500.00000999999997</v>
      </c>
      <c r="AA30" s="83">
        <v>600</v>
      </c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N30" s="101"/>
      <c r="AO30" s="101"/>
      <c r="AP30" s="101"/>
      <c r="AQ30" s="101"/>
      <c r="AR30" s="101"/>
      <c r="AS30" s="79"/>
      <c r="AT30" s="102"/>
      <c r="AU30" s="79"/>
      <c r="AV30" s="79" t="str">
        <f>AQ10</f>
        <v>EMT</v>
      </c>
      <c r="AW30" s="79" t="s">
        <v>112</v>
      </c>
      <c r="AX30" s="60"/>
      <c r="AY30" s="60"/>
      <c r="AZ30" s="60"/>
      <c r="BA30" s="60"/>
    </row>
    <row r="31" spans="3:54" ht="12" customHeight="1">
      <c r="C31" s="99"/>
      <c r="D31" s="100">
        <f>IF(D30=0.5,"1/2''",IF(D30=0.75,"3/4''",IF(D30=1,"1''",IF(D30=1.25,"1 1/4''",IF(D30=1.5,"1 1/2''",IF(D30=2,"2''",0))))))</f>
        <v>0</v>
      </c>
      <c r="F31" s="90">
        <f t="shared" si="9"/>
        <v>270.00000999999997</v>
      </c>
      <c r="G31" s="69"/>
      <c r="H31" s="60"/>
      <c r="I31" s="90">
        <f t="shared" si="7"/>
        <v>310</v>
      </c>
      <c r="J31" s="90">
        <f t="shared" si="8"/>
        <v>310</v>
      </c>
      <c r="K31" s="90" t="s">
        <v>341</v>
      </c>
      <c r="L31" s="90">
        <v>18</v>
      </c>
      <c r="M31" s="90">
        <v>1</v>
      </c>
      <c r="N31" s="90">
        <f t="shared" si="4"/>
        <v>260</v>
      </c>
      <c r="O31" s="90">
        <f t="shared" si="5"/>
        <v>310</v>
      </c>
      <c r="P31" s="90">
        <f t="shared" si="6"/>
        <v>350</v>
      </c>
      <c r="R31" s="83" t="s">
        <v>340</v>
      </c>
      <c r="S31" s="83">
        <v>280</v>
      </c>
      <c r="T31" s="83">
        <v>335</v>
      </c>
      <c r="U31" s="83">
        <v>380</v>
      </c>
      <c r="V31" s="83">
        <v>225</v>
      </c>
      <c r="W31" s="83">
        <v>270</v>
      </c>
      <c r="X31" s="83">
        <v>305</v>
      </c>
      <c r="Z31" s="83">
        <f t="shared" si="2"/>
        <v>600.00000999999997</v>
      </c>
      <c r="AA31" s="83">
        <v>700</v>
      </c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N31" s="103"/>
      <c r="AO31" s="103"/>
      <c r="AP31" s="103"/>
      <c r="AQ31" s="103" t="s">
        <v>342</v>
      </c>
      <c r="AR31" s="103" t="s">
        <v>343</v>
      </c>
      <c r="AS31" s="83" t="s">
        <v>344</v>
      </c>
      <c r="AT31" s="104"/>
      <c r="AU31" s="83"/>
      <c r="AV31" s="83" t="str">
        <f>AQ11</f>
        <v>AREA</v>
      </c>
      <c r="AW31" s="83" t="s">
        <v>108</v>
      </c>
      <c r="AX31" s="60"/>
      <c r="AY31" s="60"/>
      <c r="AZ31" s="60"/>
      <c r="BA31" s="60"/>
    </row>
    <row r="32" spans="3:54" ht="12" customHeight="1">
      <c r="C32" s="99"/>
      <c r="D32" s="100" t="str">
        <f>IF(D30=2.5,"2 1/2''",IF(D30=3,"3''",IF(D30=3.5,"3 1/2''",IF(D30=4,"4''",0))))</f>
        <v>2 1/2''</v>
      </c>
      <c r="F32" s="83">
        <f t="shared" si="9"/>
        <v>310.00000999999997</v>
      </c>
      <c r="G32" s="69"/>
      <c r="H32" s="60"/>
      <c r="I32" s="83">
        <f t="shared" si="7"/>
        <v>360</v>
      </c>
      <c r="J32" s="83">
        <f t="shared" ref="J32:J37" si="10">J26*M32</f>
        <v>360</v>
      </c>
      <c r="K32" s="83" t="s">
        <v>334</v>
      </c>
      <c r="L32" s="83">
        <v>13</v>
      </c>
      <c r="M32" s="83">
        <v>2</v>
      </c>
      <c r="N32" s="83"/>
      <c r="O32" s="83"/>
      <c r="P32" s="83"/>
      <c r="R32" s="90" t="s">
        <v>341</v>
      </c>
      <c r="S32" s="90">
        <v>320</v>
      </c>
      <c r="T32" s="90">
        <v>380</v>
      </c>
      <c r="U32" s="90">
        <v>430</v>
      </c>
      <c r="V32" s="90">
        <v>260</v>
      </c>
      <c r="W32" s="90">
        <v>310</v>
      </c>
      <c r="X32" s="90">
        <v>350</v>
      </c>
      <c r="Z32" s="83">
        <f t="shared" si="2"/>
        <v>700.00000999999997</v>
      </c>
      <c r="AA32" s="83">
        <v>800</v>
      </c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N32" s="103"/>
      <c r="AO32" s="103"/>
      <c r="AP32" s="103"/>
      <c r="AQ32" s="103"/>
      <c r="AR32" s="103"/>
      <c r="AS32" s="83"/>
      <c r="AT32" s="104"/>
      <c r="AU32" s="83"/>
      <c r="AV32" s="83" t="str">
        <f>AQ12</f>
        <v>SQ IN</v>
      </c>
      <c r="AW32" s="83"/>
      <c r="AX32" s="60"/>
      <c r="AY32" s="60"/>
      <c r="AZ32" s="60"/>
      <c r="BA32" s="60"/>
    </row>
    <row r="33" spans="3:61" ht="12" customHeight="1">
      <c r="C33" s="99"/>
      <c r="D33" s="100" t="str">
        <f>IF(D30&gt;2,D32,D31)</f>
        <v>2 1/2''</v>
      </c>
      <c r="F33" s="83">
        <f t="shared" si="9"/>
        <v>360.00000999999997</v>
      </c>
      <c r="G33" s="69"/>
      <c r="H33" s="60"/>
      <c r="I33" s="83">
        <f t="shared" si="7"/>
        <v>410</v>
      </c>
      <c r="J33" s="83">
        <f t="shared" si="10"/>
        <v>410</v>
      </c>
      <c r="K33" s="83" t="s">
        <v>336</v>
      </c>
      <c r="L33" s="83">
        <v>14</v>
      </c>
      <c r="M33" s="83">
        <v>2</v>
      </c>
      <c r="N33" s="83"/>
      <c r="O33" s="83"/>
      <c r="P33" s="83"/>
      <c r="R33" s="60"/>
      <c r="S33" s="60"/>
      <c r="T33" s="60"/>
      <c r="Z33" s="83">
        <f t="shared" si="2"/>
        <v>800.00000999999997</v>
      </c>
      <c r="AA33" s="83">
        <v>1000</v>
      </c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N33" s="103">
        <v>1</v>
      </c>
      <c r="AO33" s="103">
        <f>IF(AP33&gt;0,1,0)</f>
        <v>0</v>
      </c>
      <c r="AP33" s="103">
        <f t="shared" ref="AP33:AP42" si="11">IF(AO$28=2,AQ33,IF(AO$28=3,AR33,IF(AO$28=4,AS33,"ERR")))</f>
        <v>0</v>
      </c>
      <c r="AQ33" s="103">
        <f>IF(AT33&gt;1.799999,2,0)</f>
        <v>0</v>
      </c>
      <c r="AR33" s="103">
        <f>IF(AT33&gt;2.799999,3,0)</f>
        <v>0</v>
      </c>
      <c r="AS33" s="83">
        <f>IF(AT33&gt;3.799999,4,0)</f>
        <v>0</v>
      </c>
      <c r="AT33" s="89">
        <f t="shared" ref="AT33:AT42" si="12">AV33/AU33</f>
        <v>0.2638888888888889</v>
      </c>
      <c r="AU33" s="83">
        <f t="shared" ref="AU33:AU42" si="13">$AA$76</f>
        <v>0.46079999999999999</v>
      </c>
      <c r="AV33" s="89">
        <f t="shared" ref="AV33:AV42" si="14">AO13</f>
        <v>0.1216</v>
      </c>
      <c r="AW33" s="83">
        <v>0.5</v>
      </c>
      <c r="AX33" s="60"/>
      <c r="AY33" s="60"/>
      <c r="AZ33" s="60"/>
      <c r="BA33" s="60"/>
    </row>
    <row r="34" spans="3:61" ht="12" customHeight="1">
      <c r="F34" s="83">
        <f t="shared" si="9"/>
        <v>410.00000999999997</v>
      </c>
      <c r="G34" s="69"/>
      <c r="H34" s="60"/>
      <c r="I34" s="83">
        <f t="shared" si="7"/>
        <v>460</v>
      </c>
      <c r="J34" s="83">
        <f t="shared" si="10"/>
        <v>460</v>
      </c>
      <c r="K34" s="83" t="s">
        <v>337</v>
      </c>
      <c r="L34" s="83">
        <v>15</v>
      </c>
      <c r="M34" s="83">
        <v>2</v>
      </c>
      <c r="N34" s="83"/>
      <c r="O34" s="83"/>
      <c r="P34" s="83"/>
      <c r="R34" s="60"/>
      <c r="S34" s="60"/>
      <c r="T34" s="60"/>
      <c r="Z34" s="90">
        <f t="shared" si="2"/>
        <v>1000.00001</v>
      </c>
      <c r="AA34" s="90">
        <v>1200</v>
      </c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N34" s="103">
        <v>2</v>
      </c>
      <c r="AO34" s="103">
        <f>IF(AP34&gt;0,2,0)</f>
        <v>0</v>
      </c>
      <c r="AP34" s="103">
        <f t="shared" si="11"/>
        <v>0</v>
      </c>
      <c r="AQ34" s="103">
        <f>IF(SUM(AQ$33:AQ33)=0,IF(AT34&gt;1.799999,2,0),0)</f>
        <v>0</v>
      </c>
      <c r="AR34" s="103">
        <f>IF(SUM(AR$33:AR33)=0,IF(AT34&gt;2.799999,3,0),0)</f>
        <v>0</v>
      </c>
      <c r="AS34" s="83">
        <f>IF(SUM(AS$33:AS33)=0,IF(AT34&gt;3.799999,4,0),0)</f>
        <v>0</v>
      </c>
      <c r="AT34" s="89">
        <f t="shared" si="12"/>
        <v>0.46267361111111116</v>
      </c>
      <c r="AU34" s="83">
        <f t="shared" si="13"/>
        <v>0.46079999999999999</v>
      </c>
      <c r="AV34" s="89">
        <f t="shared" si="14"/>
        <v>0.21320000000000003</v>
      </c>
      <c r="AW34" s="83">
        <v>0.75</v>
      </c>
      <c r="AX34" s="60"/>
      <c r="AY34" s="60"/>
      <c r="AZ34" s="60"/>
      <c r="BA34" s="60"/>
    </row>
    <row r="35" spans="3:61" ht="12" customHeight="1">
      <c r="F35" s="83">
        <f t="shared" si="9"/>
        <v>460.00000999999997</v>
      </c>
      <c r="G35" s="69"/>
      <c r="H35" s="60"/>
      <c r="I35" s="83">
        <f t="shared" si="7"/>
        <v>500</v>
      </c>
      <c r="J35" s="83">
        <f t="shared" si="10"/>
        <v>500</v>
      </c>
      <c r="K35" s="83" t="s">
        <v>339</v>
      </c>
      <c r="L35" s="83">
        <v>16</v>
      </c>
      <c r="M35" s="83">
        <v>2</v>
      </c>
      <c r="N35" s="83"/>
      <c r="O35" s="83"/>
      <c r="P35" s="83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N35" s="103">
        <v>3</v>
      </c>
      <c r="AO35" s="103">
        <f>IF(AP35&gt;0,3,0)</f>
        <v>0</v>
      </c>
      <c r="AP35" s="103">
        <f t="shared" si="11"/>
        <v>0</v>
      </c>
      <c r="AQ35" s="103">
        <f>IF(SUM(AQ$33:AQ34)=0,IF(AT35&gt;1.799999,2,0),0)</f>
        <v>0</v>
      </c>
      <c r="AR35" s="103">
        <f>IF(SUM(AR$33:AR34)=0,IF(AT35&gt;2.799999,3,0),0)</f>
        <v>0</v>
      </c>
      <c r="AS35" s="83">
        <f>IF(SUM(AS$33:AS34)=0,IF(AT35&gt;3.799999,4,0),0)</f>
        <v>0</v>
      </c>
      <c r="AT35" s="89">
        <f t="shared" si="12"/>
        <v>0.75000000000000011</v>
      </c>
      <c r="AU35" s="83">
        <f t="shared" si="13"/>
        <v>0.46079999999999999</v>
      </c>
      <c r="AV35" s="89">
        <f t="shared" si="14"/>
        <v>0.34560000000000002</v>
      </c>
      <c r="AW35" s="83">
        <v>1</v>
      </c>
      <c r="AX35" s="60"/>
      <c r="AY35" s="60"/>
      <c r="AZ35" s="60"/>
      <c r="BA35" s="60"/>
    </row>
    <row r="36" spans="3:61" ht="12" customHeight="1">
      <c r="F36" s="83">
        <f t="shared" si="9"/>
        <v>500.00000999999997</v>
      </c>
      <c r="G36" s="69"/>
      <c r="H36" s="60"/>
      <c r="I36" s="83">
        <f t="shared" si="7"/>
        <v>540</v>
      </c>
      <c r="J36" s="83">
        <f t="shared" si="10"/>
        <v>540</v>
      </c>
      <c r="K36" s="83" t="s">
        <v>340</v>
      </c>
      <c r="L36" s="83">
        <v>17</v>
      </c>
      <c r="M36" s="83">
        <v>2</v>
      </c>
      <c r="N36" s="83"/>
      <c r="O36" s="83"/>
      <c r="P36" s="83"/>
      <c r="Z36" s="75"/>
      <c r="AA36" s="75"/>
      <c r="AB36" s="75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N36" s="103">
        <v>4</v>
      </c>
      <c r="AO36" s="103">
        <f>IF(AP36&gt;0,4,0)</f>
        <v>0</v>
      </c>
      <c r="AP36" s="103">
        <f t="shared" si="11"/>
        <v>0</v>
      </c>
      <c r="AQ36" s="103">
        <f>IF(SUM(AQ$33:AQ35)=0,IF(AT36&gt;1.799999,2,0),0)</f>
        <v>0</v>
      </c>
      <c r="AR36" s="103">
        <f>IF(SUM(AR$33:AR35)=0,IF(AT36&gt;2.799999,3,0),0)</f>
        <v>0</v>
      </c>
      <c r="AS36" s="83">
        <f>IF(SUM(AS$33:AS35)=0,IF(AT36&gt;3.799999,4,0),0)</f>
        <v>0</v>
      </c>
      <c r="AT36" s="89">
        <f t="shared" si="12"/>
        <v>1.2986111111111112</v>
      </c>
      <c r="AU36" s="83">
        <f t="shared" si="13"/>
        <v>0.46079999999999999</v>
      </c>
      <c r="AV36" s="89">
        <f t="shared" si="14"/>
        <v>0.59840000000000004</v>
      </c>
      <c r="AW36" s="83">
        <v>1.25</v>
      </c>
      <c r="AX36" s="60"/>
      <c r="AY36" s="60"/>
      <c r="AZ36" s="60"/>
      <c r="BA36" s="60"/>
    </row>
    <row r="37" spans="3:61" ht="12" customHeight="1">
      <c r="F37" s="90">
        <f t="shared" si="9"/>
        <v>540.00000999999997</v>
      </c>
      <c r="G37" s="69"/>
      <c r="H37" s="60"/>
      <c r="I37" s="90">
        <f t="shared" si="7"/>
        <v>620</v>
      </c>
      <c r="J37" s="90">
        <f t="shared" si="10"/>
        <v>620</v>
      </c>
      <c r="K37" s="90" t="s">
        <v>341</v>
      </c>
      <c r="L37" s="90">
        <v>18</v>
      </c>
      <c r="M37" s="90">
        <v>2</v>
      </c>
      <c r="N37" s="90"/>
      <c r="O37" s="90"/>
      <c r="P37" s="90"/>
      <c r="Z37" s="105" t="s">
        <v>345</v>
      </c>
      <c r="AA37" s="96">
        <f>VLOOKUP(AA6,Z13:AA34,2)</f>
        <v>225</v>
      </c>
      <c r="AB37" s="96" t="e">
        <f>IF(AB6&lt;800.0001,VLOOKUP(AB6,AA13:AB34,2),0)</f>
        <v>#N/A</v>
      </c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N37" s="103">
        <v>5</v>
      </c>
      <c r="AO37" s="103">
        <f>IF(AP37&gt;0,5,0)</f>
        <v>0</v>
      </c>
      <c r="AP37" s="103">
        <f t="shared" si="11"/>
        <v>0</v>
      </c>
      <c r="AQ37" s="103">
        <f>IF(SUM(AQ$33:AQ36)=0,IF(AT37&gt;1.799999,2,0),0)</f>
        <v>0</v>
      </c>
      <c r="AR37" s="103">
        <f>IF(SUM(AR$33:AR36)=0,IF(AT37&gt;2.799999,3,0),0)</f>
        <v>0</v>
      </c>
      <c r="AS37" s="83">
        <f>IF(SUM(AS$33:AS36)=0,IF(AT37&gt;3.799999,4,0),0)</f>
        <v>0</v>
      </c>
      <c r="AT37" s="89">
        <f t="shared" si="12"/>
        <v>1.7673611111111112</v>
      </c>
      <c r="AU37" s="83">
        <f t="shared" si="13"/>
        <v>0.46079999999999999</v>
      </c>
      <c r="AV37" s="89">
        <f t="shared" si="14"/>
        <v>0.81440000000000001</v>
      </c>
      <c r="AW37" s="83">
        <v>1.5</v>
      </c>
      <c r="AX37" s="60"/>
      <c r="AY37" s="60"/>
      <c r="AZ37" s="60"/>
      <c r="BA37" s="60"/>
    </row>
    <row r="38" spans="3:61" ht="12" customHeight="1">
      <c r="F38" s="83">
        <f t="shared" si="9"/>
        <v>620.00000999999997</v>
      </c>
      <c r="G38" s="69"/>
      <c r="H38" s="60"/>
      <c r="I38" s="83">
        <f t="shared" si="7"/>
        <v>690</v>
      </c>
      <c r="J38" s="83">
        <f>J28*M38</f>
        <v>690</v>
      </c>
      <c r="K38" s="83" t="s">
        <v>337</v>
      </c>
      <c r="L38" s="83">
        <v>15</v>
      </c>
      <c r="M38" s="83">
        <v>3</v>
      </c>
      <c r="N38" s="83"/>
      <c r="O38" s="83"/>
      <c r="P38" s="83"/>
      <c r="R38" s="60"/>
      <c r="S38" s="60"/>
      <c r="T38" s="60"/>
      <c r="U38" s="60"/>
      <c r="V38" s="60"/>
      <c r="W38" s="60"/>
      <c r="X38" s="60"/>
      <c r="Z38" s="106" t="s">
        <v>346</v>
      </c>
      <c r="AA38" s="107"/>
      <c r="AB38" s="107">
        <f>IF(AB6&gt;800,VLOOKUP(AB6,AB13:AB34,1),0)</f>
        <v>0</v>
      </c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N38" s="103">
        <v>6</v>
      </c>
      <c r="AO38" s="103">
        <f>IF(AP38&gt;0,6,0)</f>
        <v>0</v>
      </c>
      <c r="AP38" s="103">
        <f t="shared" si="11"/>
        <v>0</v>
      </c>
      <c r="AQ38" s="103">
        <f>IF(SUM(AQ$33:AQ37)=0,IF(AT38&gt;1.799999,2,0),0)</f>
        <v>2</v>
      </c>
      <c r="AR38" s="103">
        <f>IF(SUM(AR$33:AR37)=0,IF(AT38&gt;2.799999,3,0),0)</f>
        <v>3</v>
      </c>
      <c r="AS38" s="83">
        <f>IF(SUM(AS$33:AS37)=0,IF(AT38&gt;3.799999,4,0),0)</f>
        <v>0</v>
      </c>
      <c r="AT38" s="89">
        <f t="shared" si="12"/>
        <v>2.9131944444444446</v>
      </c>
      <c r="AU38" s="83">
        <f t="shared" si="13"/>
        <v>0.46079999999999999</v>
      </c>
      <c r="AV38" s="89">
        <f t="shared" si="14"/>
        <v>1.3424</v>
      </c>
      <c r="AW38" s="83">
        <v>2</v>
      </c>
      <c r="AX38" s="60"/>
      <c r="AY38" s="60"/>
      <c r="AZ38" s="60"/>
      <c r="BA38" s="60"/>
    </row>
    <row r="39" spans="3:61" ht="12" customHeight="1">
      <c r="F39" s="83">
        <f t="shared" si="9"/>
        <v>690.00000999999997</v>
      </c>
      <c r="G39" s="69"/>
      <c r="H39" s="60"/>
      <c r="I39" s="83">
        <f t="shared" si="7"/>
        <v>750</v>
      </c>
      <c r="J39" s="83">
        <f>J29*M39</f>
        <v>750</v>
      </c>
      <c r="K39" s="83" t="s">
        <v>339</v>
      </c>
      <c r="L39" s="83">
        <v>16</v>
      </c>
      <c r="M39" s="83">
        <v>3</v>
      </c>
      <c r="N39" s="83"/>
      <c r="O39" s="83"/>
      <c r="P39" s="83"/>
      <c r="R39" s="60"/>
      <c r="S39" s="60"/>
      <c r="T39" s="60"/>
      <c r="U39" s="60"/>
      <c r="V39" s="60"/>
      <c r="W39" s="60"/>
      <c r="X39" s="60"/>
      <c r="Z39" s="108" t="s">
        <v>307</v>
      </c>
      <c r="AA39" s="98">
        <f>AA37+AA38</f>
        <v>225</v>
      </c>
      <c r="AB39" s="75"/>
      <c r="AC39" s="60"/>
      <c r="AD39" s="60" t="str">
        <f>TEXT(AA39,"#,##0")</f>
        <v>225</v>
      </c>
      <c r="AE39" s="109" t="str">
        <f>IF(Input!D11=1,"A-2P","A-3P")</f>
        <v>A-3P</v>
      </c>
      <c r="AF39" s="60"/>
      <c r="AG39" s="109" t="str">
        <f>CONCATENATE(AD39,AE39)</f>
        <v>225A-3P</v>
      </c>
      <c r="AH39" s="60"/>
      <c r="AI39" s="60"/>
      <c r="AJ39" s="60"/>
      <c r="AK39" s="60"/>
      <c r="AL39" s="60"/>
      <c r="AN39" s="103">
        <v>7</v>
      </c>
      <c r="AO39" s="103">
        <f>IF(AP39&gt;0,7,0)</f>
        <v>7</v>
      </c>
      <c r="AP39" s="103">
        <f t="shared" si="11"/>
        <v>4</v>
      </c>
      <c r="AQ39" s="103">
        <f>IF(SUM(AQ$33:AQ38)=0,IF(AT39&gt;1.799999,2,0),0)</f>
        <v>0</v>
      </c>
      <c r="AR39" s="103">
        <f>IF(SUM(AR$33:AR38)=0,IF(AT39&gt;2.799999,3,0),0)</f>
        <v>0</v>
      </c>
      <c r="AS39" s="83">
        <f>IF(SUM(AS$33:AS38)=0,IF(AT39&gt;3.799999,4,0),0)</f>
        <v>4</v>
      </c>
      <c r="AT39" s="89">
        <f t="shared" si="12"/>
        <v>5.0850694444444446</v>
      </c>
      <c r="AU39" s="83">
        <f t="shared" si="13"/>
        <v>0.46079999999999999</v>
      </c>
      <c r="AV39" s="89">
        <f t="shared" si="14"/>
        <v>2.3431999999999999</v>
      </c>
      <c r="AW39" s="83">
        <v>2.5</v>
      </c>
      <c r="AX39" s="60"/>
      <c r="AY39" s="60"/>
      <c r="AZ39" s="60"/>
      <c r="BA39" s="60"/>
    </row>
    <row r="40" spans="3:61" ht="12" customHeight="1">
      <c r="F40" s="83">
        <f t="shared" si="9"/>
        <v>750.00000999999997</v>
      </c>
      <c r="G40" s="69"/>
      <c r="H40" s="60"/>
      <c r="I40" s="83">
        <f t="shared" si="7"/>
        <v>810</v>
      </c>
      <c r="J40" s="83">
        <f>J30*M40</f>
        <v>810</v>
      </c>
      <c r="K40" s="83" t="s">
        <v>340</v>
      </c>
      <c r="L40" s="83">
        <v>17</v>
      </c>
      <c r="M40" s="83">
        <v>3</v>
      </c>
      <c r="N40" s="83"/>
      <c r="O40" s="83"/>
      <c r="P40" s="83"/>
      <c r="R40" s="60"/>
      <c r="Z40" s="60" t="s">
        <v>347</v>
      </c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N40" s="103">
        <v>8</v>
      </c>
      <c r="AO40" s="103">
        <f>IF(AP40&gt;0,8,0)</f>
        <v>0</v>
      </c>
      <c r="AP40" s="103">
        <f t="shared" si="11"/>
        <v>0</v>
      </c>
      <c r="AQ40" s="103">
        <f>IF(SUM(AQ$33:AQ39)=0,IF(AT40&gt;1.799999,2,0),0)</f>
        <v>0</v>
      </c>
      <c r="AR40" s="103">
        <f>IF(SUM(AR$33:AR39)=0,IF(AT40&gt;2.799999,3,0),0)</f>
        <v>0</v>
      </c>
      <c r="AS40" s="83">
        <f>IF(SUM(AS$33:AS39)=0,IF(AT40&gt;3.799999,4,0),0)</f>
        <v>0</v>
      </c>
      <c r="AT40" s="89">
        <f t="shared" si="12"/>
        <v>7.6788194444444455</v>
      </c>
      <c r="AU40" s="83">
        <f t="shared" si="13"/>
        <v>0.46079999999999999</v>
      </c>
      <c r="AV40" s="89">
        <f t="shared" si="14"/>
        <v>3.5384000000000002</v>
      </c>
      <c r="AW40" s="83">
        <v>3</v>
      </c>
      <c r="AX40" s="60"/>
      <c r="AY40" s="60"/>
      <c r="AZ40" s="60"/>
      <c r="BA40" s="60"/>
    </row>
    <row r="41" spans="3:61" ht="12" customHeight="1">
      <c r="F41" s="90">
        <f t="shared" si="9"/>
        <v>810.00000999999997</v>
      </c>
      <c r="G41" s="69"/>
      <c r="H41" s="60"/>
      <c r="I41" s="90">
        <f t="shared" si="7"/>
        <v>930</v>
      </c>
      <c r="J41" s="90">
        <f>J31*M41</f>
        <v>930</v>
      </c>
      <c r="K41" s="90" t="s">
        <v>341</v>
      </c>
      <c r="L41" s="90">
        <v>18</v>
      </c>
      <c r="M41" s="90">
        <v>3</v>
      </c>
      <c r="N41" s="90"/>
      <c r="O41" s="90"/>
      <c r="P41" s="90"/>
      <c r="R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N41" s="103">
        <v>9</v>
      </c>
      <c r="AO41" s="103">
        <f>IF(AP41&gt;0,8,0)</f>
        <v>0</v>
      </c>
      <c r="AP41" s="103">
        <f t="shared" si="11"/>
        <v>0</v>
      </c>
      <c r="AQ41" s="103">
        <f>IF(SUM(AQ$33:AQ40)=0,IF(AT41&gt;1.799999,2,0),0)</f>
        <v>0</v>
      </c>
      <c r="AR41" s="103">
        <f>IF(SUM(AR$33:AR40)=0,IF(AT41&gt;2.799999,3,0),0)</f>
        <v>0</v>
      </c>
      <c r="AS41" s="83">
        <f>IF(SUM(AS$33:AS40)=0,IF(AT41&gt;3.799999,4,0),0)</f>
        <v>0</v>
      </c>
      <c r="AT41" s="89">
        <f t="shared" si="12"/>
        <v>10.021701388888889</v>
      </c>
      <c r="AU41" s="83">
        <f t="shared" si="13"/>
        <v>0.46079999999999999</v>
      </c>
      <c r="AV41" s="89">
        <f t="shared" si="14"/>
        <v>4.6180000000000003</v>
      </c>
      <c r="AW41" s="83">
        <v>3.5</v>
      </c>
      <c r="AX41" s="60"/>
      <c r="AY41" s="60"/>
      <c r="AZ41" s="60"/>
      <c r="BA41" s="60"/>
    </row>
    <row r="42" spans="3:61" s="60" customFormat="1" ht="12" customHeight="1">
      <c r="F42" s="83">
        <f t="shared" si="9"/>
        <v>930.00000999999997</v>
      </c>
      <c r="G42" s="69"/>
      <c r="I42" s="83">
        <f t="shared" si="7"/>
        <v>1000</v>
      </c>
      <c r="J42" s="83">
        <f>J29*M42</f>
        <v>1000</v>
      </c>
      <c r="K42" s="83" t="s">
        <v>339</v>
      </c>
      <c r="L42" s="83">
        <v>16</v>
      </c>
      <c r="M42" s="83">
        <v>4</v>
      </c>
      <c r="N42" s="83"/>
      <c r="O42" s="83"/>
      <c r="P42" s="83"/>
      <c r="S42" s="58"/>
      <c r="T42" s="58"/>
      <c r="U42" s="58"/>
      <c r="V42" s="58"/>
      <c r="W42" s="58"/>
      <c r="X42" s="58"/>
      <c r="AM42" s="58"/>
      <c r="AN42" s="110">
        <v>10</v>
      </c>
      <c r="AO42" s="110">
        <f>IF(AP42&gt;0,10,0)</f>
        <v>0</v>
      </c>
      <c r="AP42" s="110">
        <f t="shared" si="11"/>
        <v>0</v>
      </c>
      <c r="AQ42" s="110">
        <f>IF(SUM(AQ$33:AQ41)=0,IF(AT42&gt;1.799999,2,0),0)</f>
        <v>0</v>
      </c>
      <c r="AR42" s="110">
        <f>IF(SUM(AR$33:AR41)=0,IF(AT42&gt;2.799999,3,0),0)</f>
        <v>0</v>
      </c>
      <c r="AS42" s="90">
        <f>IF(SUM(AS$33:AS41)=0,IF(AT42&gt;3.799999,4,0),0)</f>
        <v>0</v>
      </c>
      <c r="AT42" s="94">
        <f t="shared" si="12"/>
        <v>12.806423611111112</v>
      </c>
      <c r="AU42" s="90">
        <f t="shared" si="13"/>
        <v>0.46079999999999999</v>
      </c>
      <c r="AV42" s="94">
        <f t="shared" si="14"/>
        <v>5.9012000000000002</v>
      </c>
      <c r="AW42" s="90">
        <v>4</v>
      </c>
      <c r="BB42" s="58"/>
      <c r="BC42" s="58"/>
      <c r="BD42" s="58"/>
      <c r="BE42" s="58"/>
      <c r="BF42" s="58"/>
      <c r="BG42" s="58"/>
      <c r="BH42" s="58"/>
      <c r="BI42" s="58"/>
    </row>
    <row r="43" spans="3:61" s="60" customFormat="1" ht="12" customHeight="1">
      <c r="F43" s="83">
        <f t="shared" si="9"/>
        <v>1000.00001</v>
      </c>
      <c r="G43" s="69"/>
      <c r="I43" s="83">
        <f t="shared" si="7"/>
        <v>1080</v>
      </c>
      <c r="J43" s="83">
        <f>J30*M43</f>
        <v>1080</v>
      </c>
      <c r="K43" s="83" t="s">
        <v>340</v>
      </c>
      <c r="L43" s="83">
        <v>17</v>
      </c>
      <c r="M43" s="83">
        <v>4</v>
      </c>
      <c r="N43" s="83"/>
      <c r="O43" s="83"/>
      <c r="P43" s="83"/>
      <c r="S43" s="58"/>
      <c r="T43" s="58"/>
      <c r="U43" s="58"/>
      <c r="V43" s="58"/>
      <c r="W43" s="58"/>
      <c r="X43" s="58"/>
      <c r="Z43" s="61" t="s">
        <v>348</v>
      </c>
      <c r="AM43" s="58"/>
      <c r="BA43" s="58"/>
      <c r="BB43" s="58"/>
      <c r="BC43" s="58"/>
      <c r="BD43" s="58"/>
      <c r="BE43" s="58"/>
      <c r="BF43" s="58"/>
      <c r="BG43" s="58"/>
      <c r="BH43" s="58"/>
    </row>
    <row r="44" spans="3:61" ht="12" customHeight="1">
      <c r="F44" s="90">
        <f t="shared" si="9"/>
        <v>1080.00001</v>
      </c>
      <c r="G44" s="69"/>
      <c r="H44" s="60"/>
      <c r="I44" s="90">
        <f t="shared" si="7"/>
        <v>1240</v>
      </c>
      <c r="J44" s="90">
        <f>J31*M44</f>
        <v>1240</v>
      </c>
      <c r="K44" s="90" t="s">
        <v>341</v>
      </c>
      <c r="L44" s="90">
        <v>18</v>
      </c>
      <c r="M44" s="90">
        <v>4</v>
      </c>
      <c r="N44" s="90"/>
      <c r="O44" s="90"/>
      <c r="P44" s="90"/>
      <c r="R44" s="60"/>
      <c r="Z44" s="60"/>
      <c r="AA44" s="60" t="s">
        <v>349</v>
      </c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N44" s="60"/>
      <c r="AO44" s="60">
        <f>SUM(AO33:AO42)</f>
        <v>7</v>
      </c>
      <c r="AP44" s="60"/>
      <c r="AQ44" s="60"/>
      <c r="AR44" s="60"/>
      <c r="AS44" s="60"/>
      <c r="AT44" s="60"/>
      <c r="AU44" s="111" t="s">
        <v>350</v>
      </c>
      <c r="AV44" s="112"/>
      <c r="AW44" s="113"/>
      <c r="AX44" s="113"/>
      <c r="AY44" s="113"/>
      <c r="AZ44" s="113"/>
      <c r="BA44" s="113"/>
      <c r="BB44" s="113"/>
    </row>
    <row r="45" spans="3:61" ht="12" customHeight="1">
      <c r="F45" s="83">
        <f t="shared" si="9"/>
        <v>1240.00001</v>
      </c>
      <c r="G45" s="69"/>
      <c r="H45" s="60"/>
      <c r="I45" s="83">
        <f t="shared" si="7"/>
        <v>1250</v>
      </c>
      <c r="J45" s="83">
        <f>J29*M45</f>
        <v>1250</v>
      </c>
      <c r="K45" s="83" t="s">
        <v>339</v>
      </c>
      <c r="L45" s="83">
        <v>16</v>
      </c>
      <c r="M45" s="83">
        <v>5</v>
      </c>
      <c r="N45" s="83"/>
      <c r="O45" s="83"/>
      <c r="P45" s="83"/>
      <c r="R45" s="60"/>
      <c r="Z45" s="64" t="s">
        <v>351</v>
      </c>
      <c r="AA45" s="114">
        <f>H54</f>
        <v>15</v>
      </c>
      <c r="AB45" s="66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N45" s="60"/>
      <c r="AO45" s="60">
        <f>VLOOKUP(AO44,AN33:AW42,10)</f>
        <v>2.5</v>
      </c>
      <c r="AP45" s="60"/>
      <c r="AQ45" s="60"/>
      <c r="AR45" s="60"/>
      <c r="AS45" s="60"/>
      <c r="AT45" s="60"/>
      <c r="AU45" s="112"/>
      <c r="AV45" s="112"/>
      <c r="AW45" s="112"/>
      <c r="AX45" s="113"/>
      <c r="AY45" s="113"/>
      <c r="AZ45" s="113"/>
      <c r="BA45" s="113"/>
      <c r="BB45" s="113"/>
    </row>
    <row r="46" spans="3:61" ht="12" customHeight="1">
      <c r="F46" s="83">
        <f t="shared" si="9"/>
        <v>1250.00001</v>
      </c>
      <c r="G46" s="69"/>
      <c r="H46" s="60"/>
      <c r="I46" s="83">
        <f t="shared" si="7"/>
        <v>1350</v>
      </c>
      <c r="J46" s="83">
        <f>J30*M46</f>
        <v>1350</v>
      </c>
      <c r="K46" s="83" t="s">
        <v>340</v>
      </c>
      <c r="L46" s="83">
        <v>17</v>
      </c>
      <c r="M46" s="83">
        <v>5</v>
      </c>
      <c r="N46" s="83"/>
      <c r="O46" s="83"/>
      <c r="P46" s="83"/>
      <c r="R46" s="60"/>
      <c r="Z46" s="115" t="s">
        <v>352</v>
      </c>
      <c r="AA46" s="185" t="str">
        <f>Input!D41</f>
        <v>THHN</v>
      </c>
      <c r="AB46" s="77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N46" s="60"/>
      <c r="AO46" s="60"/>
      <c r="AP46" s="60"/>
      <c r="AQ46" s="60"/>
      <c r="AR46" s="60"/>
      <c r="AS46" s="60"/>
      <c r="AT46" s="60"/>
      <c r="AU46" s="116">
        <v>1</v>
      </c>
      <c r="AV46" s="117">
        <v>1</v>
      </c>
      <c r="AW46" s="118" t="s">
        <v>353</v>
      </c>
      <c r="AX46" s="119">
        <f t="shared" ref="AX46:AX51" si="15">$AQ$79</f>
        <v>7.0699999999999999E-2</v>
      </c>
      <c r="AY46" s="117" t="s">
        <v>165</v>
      </c>
      <c r="AZ46" s="117">
        <f>IF(AO$59&gt;1,AV46/AX46,0)</f>
        <v>0</v>
      </c>
      <c r="BA46" s="117"/>
      <c r="BB46" s="120"/>
    </row>
    <row r="47" spans="3:61" ht="12" customHeight="1">
      <c r="F47" s="90">
        <f t="shared" si="9"/>
        <v>1350.00001</v>
      </c>
      <c r="G47" s="69"/>
      <c r="H47" s="60"/>
      <c r="I47" s="90">
        <f t="shared" si="7"/>
        <v>1550</v>
      </c>
      <c r="J47" s="90">
        <f>J31*M47</f>
        <v>1550</v>
      </c>
      <c r="K47" s="90" t="s">
        <v>341</v>
      </c>
      <c r="L47" s="90">
        <v>18</v>
      </c>
      <c r="M47" s="90">
        <v>5</v>
      </c>
      <c r="N47" s="90"/>
      <c r="O47" s="90"/>
      <c r="P47" s="90"/>
      <c r="R47" s="60"/>
      <c r="Z47" s="115" t="s">
        <v>354</v>
      </c>
      <c r="AA47" s="185" t="str">
        <f>Input!D37</f>
        <v>AL</v>
      </c>
      <c r="AB47" s="77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N47" s="60"/>
      <c r="AO47" s="60"/>
      <c r="AP47" s="60"/>
      <c r="AQ47" s="60"/>
      <c r="AR47" s="60"/>
      <c r="AS47" s="60"/>
      <c r="AT47" s="60"/>
      <c r="AU47" s="121">
        <v>2</v>
      </c>
      <c r="AV47" s="122">
        <v>1</v>
      </c>
      <c r="AW47" s="123" t="s">
        <v>353</v>
      </c>
      <c r="AX47" s="124">
        <f t="shared" si="15"/>
        <v>7.0699999999999999E-2</v>
      </c>
      <c r="AY47" s="122" t="s">
        <v>165</v>
      </c>
      <c r="AZ47" s="122">
        <f>IF(AO$59&gt;1,AV47/AX47,0)</f>
        <v>0</v>
      </c>
      <c r="BA47" s="122"/>
      <c r="BB47" s="125"/>
    </row>
    <row r="48" spans="3:61" ht="12" customHeight="1">
      <c r="F48" s="83">
        <f t="shared" si="9"/>
        <v>1550.00001</v>
      </c>
      <c r="G48" s="69"/>
      <c r="H48" s="60"/>
      <c r="I48" s="83">
        <f t="shared" si="7"/>
        <v>1620</v>
      </c>
      <c r="J48" s="83">
        <f>J30*M48</f>
        <v>1620</v>
      </c>
      <c r="K48" s="83" t="s">
        <v>340</v>
      </c>
      <c r="L48" s="83">
        <v>17</v>
      </c>
      <c r="M48" s="83">
        <v>6</v>
      </c>
      <c r="N48" s="83"/>
      <c r="O48" s="83"/>
      <c r="P48" s="83"/>
      <c r="R48" s="60"/>
      <c r="Z48" s="68" t="s">
        <v>355</v>
      </c>
      <c r="AA48" s="75">
        <f>H81</f>
        <v>8</v>
      </c>
      <c r="AB48" s="77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N48" s="60"/>
      <c r="AO48" s="60"/>
      <c r="AP48" s="60"/>
      <c r="AQ48" s="60"/>
      <c r="AR48" s="60"/>
      <c r="AS48" s="60"/>
      <c r="AT48" s="60"/>
      <c r="AU48" s="121">
        <v>3</v>
      </c>
      <c r="AV48" s="122">
        <v>1</v>
      </c>
      <c r="AW48" s="123" t="s">
        <v>353</v>
      </c>
      <c r="AX48" s="124">
        <f t="shared" si="15"/>
        <v>7.0699999999999999E-2</v>
      </c>
      <c r="AY48" s="122" t="s">
        <v>165</v>
      </c>
      <c r="AZ48" s="122">
        <f>IF(AO$59&gt;2,AV48/AX48,0)</f>
        <v>0</v>
      </c>
      <c r="BA48" s="122"/>
      <c r="BB48" s="125"/>
    </row>
    <row r="49" spans="5:54" ht="12" customHeight="1">
      <c r="F49" s="90">
        <f t="shared" si="9"/>
        <v>1620.00001</v>
      </c>
      <c r="G49" s="69"/>
      <c r="H49" s="60"/>
      <c r="I49" s="90">
        <f t="shared" si="7"/>
        <v>1860</v>
      </c>
      <c r="J49" s="90">
        <f>J31*M49</f>
        <v>1860</v>
      </c>
      <c r="K49" s="90" t="s">
        <v>341</v>
      </c>
      <c r="L49" s="90">
        <v>18</v>
      </c>
      <c r="M49" s="90">
        <v>6</v>
      </c>
      <c r="N49" s="90"/>
      <c r="O49" s="90"/>
      <c r="P49" s="90"/>
      <c r="R49" s="60"/>
      <c r="Z49" s="68" t="s">
        <v>356</v>
      </c>
      <c r="AA49" s="186" t="s">
        <v>286</v>
      </c>
      <c r="AB49" s="182">
        <v>0</v>
      </c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N49" s="60"/>
      <c r="AO49" s="60"/>
      <c r="AP49" s="60"/>
      <c r="AQ49" s="60"/>
      <c r="AR49" s="60"/>
      <c r="AS49" s="60"/>
      <c r="AT49" s="60"/>
      <c r="AU49" s="121">
        <v>4</v>
      </c>
      <c r="AV49" s="122">
        <v>1</v>
      </c>
      <c r="AW49" s="123" t="s">
        <v>353</v>
      </c>
      <c r="AX49" s="124">
        <f t="shared" si="15"/>
        <v>7.0699999999999999E-2</v>
      </c>
      <c r="AY49" s="122" t="s">
        <v>165</v>
      </c>
      <c r="AZ49" s="122">
        <f>IF(AO$59&gt;3,AV49/AX49,0)</f>
        <v>0</v>
      </c>
      <c r="BA49" s="122"/>
      <c r="BB49" s="125"/>
    </row>
    <row r="50" spans="5:54" ht="12" customHeight="1">
      <c r="F50" s="105" t="s">
        <v>308</v>
      </c>
      <c r="G50" s="126" t="s">
        <v>308</v>
      </c>
      <c r="H50" s="126" t="s">
        <v>308</v>
      </c>
      <c r="I50" s="96" t="s">
        <v>308</v>
      </c>
      <c r="J50" s="75"/>
      <c r="K50" s="75"/>
      <c r="L50" s="75"/>
      <c r="M50" s="75"/>
      <c r="N50" s="60"/>
      <c r="O50" s="60"/>
      <c r="P50" s="60"/>
      <c r="R50" s="60"/>
      <c r="Z50" s="68" t="s">
        <v>357</v>
      </c>
      <c r="AA50" s="186">
        <f>IF(Input!D11=1,3,4)</f>
        <v>4</v>
      </c>
      <c r="AB50" s="77">
        <f>AA50</f>
        <v>4</v>
      </c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N50" s="60"/>
      <c r="AO50" s="60"/>
      <c r="AP50" s="60"/>
      <c r="AQ50" s="60"/>
      <c r="AR50" s="60"/>
      <c r="AS50" s="60"/>
      <c r="AT50" s="60"/>
      <c r="AU50" s="121">
        <v>5</v>
      </c>
      <c r="AV50" s="122">
        <v>1</v>
      </c>
      <c r="AW50" s="123" t="s">
        <v>353</v>
      </c>
      <c r="AX50" s="124">
        <f t="shared" si="15"/>
        <v>7.0699999999999999E-2</v>
      </c>
      <c r="AY50" s="122" t="s">
        <v>165</v>
      </c>
      <c r="AZ50" s="122">
        <f>IF(AO$59&gt;4,AV50/AX50,0)</f>
        <v>0</v>
      </c>
      <c r="BA50" s="122"/>
      <c r="BB50" s="125"/>
    </row>
    <row r="51" spans="5:54" ht="12" customHeight="1">
      <c r="F51" s="106" t="s">
        <v>313</v>
      </c>
      <c r="G51" s="75" t="s">
        <v>314</v>
      </c>
      <c r="H51" s="75" t="s">
        <v>314</v>
      </c>
      <c r="I51" s="107" t="s">
        <v>314</v>
      </c>
      <c r="J51" s="75"/>
      <c r="K51" s="75"/>
      <c r="L51" s="75"/>
      <c r="M51" s="75"/>
      <c r="N51" s="60"/>
      <c r="O51" s="60"/>
      <c r="P51" s="60"/>
      <c r="R51" s="60"/>
      <c r="Z51" s="68" t="s">
        <v>358</v>
      </c>
      <c r="AA51" s="75"/>
      <c r="AB51" s="77">
        <f>AB49+AB50</f>
        <v>4</v>
      </c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N51" s="60"/>
      <c r="AO51" s="60"/>
      <c r="AP51" s="60"/>
      <c r="AQ51" s="60"/>
      <c r="AR51" s="60"/>
      <c r="AS51" s="60"/>
      <c r="AT51" s="60"/>
      <c r="AU51" s="121">
        <v>6</v>
      </c>
      <c r="AV51" s="122">
        <v>1</v>
      </c>
      <c r="AW51" s="123" t="s">
        <v>353</v>
      </c>
      <c r="AX51" s="124">
        <f t="shared" si="15"/>
        <v>7.0699999999999999E-2</v>
      </c>
      <c r="AY51" s="122" t="s">
        <v>165</v>
      </c>
      <c r="AZ51" s="122">
        <f>IF(AO$59&gt;5,AV51/AX51,0)</f>
        <v>0</v>
      </c>
      <c r="BA51" s="122"/>
      <c r="BB51" s="125"/>
    </row>
    <row r="52" spans="5:54" ht="12" customHeight="1">
      <c r="F52" s="106" t="s">
        <v>314</v>
      </c>
      <c r="G52" s="75" t="s">
        <v>108</v>
      </c>
      <c r="H52" s="75" t="s">
        <v>108</v>
      </c>
      <c r="I52" s="107" t="s">
        <v>319</v>
      </c>
      <c r="J52" s="75"/>
      <c r="K52" s="75"/>
      <c r="L52" s="75"/>
      <c r="M52" s="60"/>
      <c r="N52" s="60"/>
      <c r="R52" s="60"/>
      <c r="Z52" s="82" t="s">
        <v>355</v>
      </c>
      <c r="AA52" s="127"/>
      <c r="AB52" s="73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N52" s="60"/>
      <c r="AO52" s="60"/>
      <c r="AP52" s="60"/>
      <c r="AQ52" s="60"/>
      <c r="AR52" s="60"/>
      <c r="AS52" s="60"/>
      <c r="AT52" s="60"/>
      <c r="AU52" s="128"/>
      <c r="AV52" s="122"/>
      <c r="AW52" s="129"/>
      <c r="AX52" s="124"/>
      <c r="AY52" s="122"/>
      <c r="AZ52" s="122"/>
      <c r="BA52" s="122"/>
      <c r="BB52" s="125"/>
    </row>
    <row r="53" spans="5:54" ht="12" customHeight="1">
      <c r="F53" s="106" t="s">
        <v>167</v>
      </c>
      <c r="G53" s="75" t="s">
        <v>320</v>
      </c>
      <c r="H53" s="75" t="s">
        <v>321</v>
      </c>
      <c r="I53" s="107" t="s">
        <v>41</v>
      </c>
      <c r="J53" s="75"/>
      <c r="K53" s="75"/>
      <c r="L53" s="75"/>
      <c r="M53" s="60"/>
      <c r="N53" s="60"/>
      <c r="O53" s="60"/>
      <c r="P53" s="60"/>
      <c r="R53" s="60"/>
      <c r="Z53" s="69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N53" s="61" t="s">
        <v>359</v>
      </c>
      <c r="AO53" s="60"/>
      <c r="AP53" s="60"/>
      <c r="AQ53" s="60"/>
      <c r="AR53" s="60"/>
      <c r="AS53" s="60"/>
      <c r="AT53" s="60"/>
      <c r="AU53" s="130" t="s">
        <v>360</v>
      </c>
      <c r="AV53" s="131"/>
      <c r="AW53" s="132"/>
      <c r="AX53" s="122">
        <v>1</v>
      </c>
      <c r="AY53" s="122" t="s">
        <v>353</v>
      </c>
      <c r="AZ53" s="122">
        <f>SUM(AZ46:AZ51)</f>
        <v>0</v>
      </c>
      <c r="BA53" s="122" t="s">
        <v>165</v>
      </c>
      <c r="BB53" s="125">
        <f>IF(AO$59=1,0,AX53/AZ53)</f>
        <v>0</v>
      </c>
    </row>
    <row r="54" spans="5:54" ht="12" customHeight="1">
      <c r="E54" s="58" t="s">
        <v>361</v>
      </c>
      <c r="F54" s="108">
        <f>VLOOKUP(G9,F18:P49,4)</f>
        <v>230</v>
      </c>
      <c r="G54" s="133" t="str">
        <f>VLOOKUP(G9,F18:P49,6)</f>
        <v>#300</v>
      </c>
      <c r="H54" s="133">
        <f>VLOOKUP(G9,F18:P49,7)</f>
        <v>15</v>
      </c>
      <c r="I54" s="98">
        <f>VLOOKUP(G9,F18:P49,8)</f>
        <v>1</v>
      </c>
      <c r="J54" s="75"/>
      <c r="K54" s="84" t="s">
        <v>362</v>
      </c>
      <c r="L54" s="75"/>
      <c r="M54" s="60"/>
      <c r="N54" s="60"/>
      <c r="O54" s="60"/>
      <c r="P54" s="60"/>
      <c r="R54" s="60"/>
      <c r="Z54" s="79" t="s">
        <v>314</v>
      </c>
      <c r="AA54" s="79" t="s">
        <v>314</v>
      </c>
      <c r="AB54" s="79" t="str">
        <f t="shared" ref="AB54:AB73" si="16">IF($AA$46="THW",AF54,IF($AA$46="RHW",AG54,IF($AA$46="THHN",AH54,IF($AA$46="XHHW",AI54,IF($AA$46="THW-CA",AJ54,IF($AA$46="THHN-CA",AK54,IF($AA$46="XHHW-CA",AL54,"ERR")))))))</f>
        <v>ST</v>
      </c>
      <c r="AC54" s="60"/>
      <c r="AD54" s="79" t="s">
        <v>314</v>
      </c>
      <c r="AE54" s="79" t="s">
        <v>314</v>
      </c>
      <c r="AF54" s="79" t="s">
        <v>363</v>
      </c>
      <c r="AG54" s="79" t="s">
        <v>363</v>
      </c>
      <c r="AH54" s="79" t="s">
        <v>363</v>
      </c>
      <c r="AI54" s="79" t="s">
        <v>363</v>
      </c>
      <c r="AJ54" s="79" t="s">
        <v>364</v>
      </c>
      <c r="AK54" s="79" t="s">
        <v>364</v>
      </c>
      <c r="AL54" s="79" t="s">
        <v>364</v>
      </c>
      <c r="AN54" s="60"/>
      <c r="AO54" s="60" t="s">
        <v>365</v>
      </c>
      <c r="AP54" s="60" t="s">
        <v>252</v>
      </c>
      <c r="AQ54" s="60"/>
      <c r="AR54" s="60"/>
      <c r="AS54" s="60"/>
      <c r="AT54" s="60"/>
      <c r="AU54" s="134"/>
      <c r="AV54" s="132"/>
      <c r="AW54" s="132"/>
      <c r="AX54" s="135"/>
      <c r="AY54" s="135"/>
      <c r="AZ54" s="135"/>
      <c r="BA54" s="135"/>
      <c r="BB54" s="136"/>
    </row>
    <row r="55" spans="5:54" ht="12" customHeight="1">
      <c r="E55" s="58" t="s">
        <v>366</v>
      </c>
      <c r="F55" s="108">
        <f>F54</f>
        <v>230</v>
      </c>
      <c r="G55" s="133" t="str">
        <f>G54</f>
        <v>#300</v>
      </c>
      <c r="H55" s="133">
        <f>H54</f>
        <v>15</v>
      </c>
      <c r="I55" s="98">
        <f>I54</f>
        <v>1</v>
      </c>
      <c r="J55" s="60"/>
      <c r="K55" s="60">
        <f>VLOOKUP(M7,F18:P49,4)</f>
        <v>50</v>
      </c>
      <c r="L55" s="60" t="str">
        <f>VLOOKUP(M7,F18:P49,6)</f>
        <v>#6</v>
      </c>
      <c r="M55" s="60">
        <f>VLOOKUP(M7,F18:P49,7)</f>
        <v>5</v>
      </c>
      <c r="N55" s="60"/>
      <c r="O55" s="60"/>
      <c r="P55" s="60"/>
      <c r="R55" s="60"/>
      <c r="Z55" s="83" t="s">
        <v>108</v>
      </c>
      <c r="AA55" s="83" t="s">
        <v>108</v>
      </c>
      <c r="AB55" s="83" t="str">
        <f t="shared" si="16"/>
        <v>THHN</v>
      </c>
      <c r="AC55" s="60"/>
      <c r="AD55" s="83" t="s">
        <v>314</v>
      </c>
      <c r="AE55" s="83" t="s">
        <v>314</v>
      </c>
      <c r="AF55" s="83" t="s">
        <v>367</v>
      </c>
      <c r="AG55" s="83" t="s">
        <v>368</v>
      </c>
      <c r="AH55" s="83" t="s">
        <v>369</v>
      </c>
      <c r="AI55" s="83" t="s">
        <v>370</v>
      </c>
      <c r="AJ55" s="83" t="s">
        <v>371</v>
      </c>
      <c r="AK55" s="83" t="s">
        <v>372</v>
      </c>
      <c r="AL55" s="83" t="s">
        <v>373</v>
      </c>
      <c r="AN55" s="67" t="s">
        <v>265</v>
      </c>
      <c r="AO55" s="137" t="str">
        <f>G6</f>
        <v>AL</v>
      </c>
      <c r="AP55" s="60"/>
      <c r="AQ55" s="60"/>
      <c r="AR55" s="60"/>
      <c r="AS55" s="60"/>
      <c r="AT55" s="60"/>
      <c r="AU55" s="130" t="s">
        <v>374</v>
      </c>
      <c r="AV55" s="131"/>
      <c r="AW55" s="132"/>
      <c r="AX55" s="135"/>
      <c r="AY55" s="135"/>
      <c r="AZ55" s="135"/>
      <c r="BA55" s="135"/>
      <c r="BB55" s="138">
        <f>IF($AO$59&gt;1,0,$AQ$79)</f>
        <v>7.0699999999999999E-2</v>
      </c>
    </row>
    <row r="56" spans="5:54" ht="12" customHeight="1">
      <c r="E56" s="58" t="s">
        <v>375</v>
      </c>
      <c r="F56" s="108">
        <f>K60</f>
        <v>205</v>
      </c>
      <c r="G56" s="133" t="str">
        <f>L60</f>
        <v>#250</v>
      </c>
      <c r="H56" s="133">
        <f>M60</f>
        <v>14</v>
      </c>
      <c r="I56" s="98">
        <f>I54</f>
        <v>1</v>
      </c>
      <c r="J56" s="60"/>
      <c r="K56" s="60">
        <f>IF(AND(M55&lt;10,I54&gt;1),I23,K55)*I54</f>
        <v>50</v>
      </c>
      <c r="L56" s="60" t="str">
        <f>IF(AND(M55&lt;10,I54&gt;1),K23,L55)</f>
        <v>#6</v>
      </c>
      <c r="M56" s="60">
        <f>IF(AND(M55&lt;10,I54&gt;1),10,M55)</f>
        <v>5</v>
      </c>
      <c r="N56" s="60"/>
      <c r="O56" s="60"/>
      <c r="P56" s="60"/>
      <c r="R56" s="60"/>
      <c r="Z56" s="83" t="s">
        <v>320</v>
      </c>
      <c r="AA56" s="83" t="s">
        <v>321</v>
      </c>
      <c r="AB56" s="83" t="str">
        <f t="shared" si="16"/>
        <v>SIZE</v>
      </c>
      <c r="AC56" s="60"/>
      <c r="AD56" s="83" t="s">
        <v>108</v>
      </c>
      <c r="AE56" s="83" t="s">
        <v>108</v>
      </c>
      <c r="AF56" s="83" t="s">
        <v>108</v>
      </c>
      <c r="AG56" s="83" t="s">
        <v>108</v>
      </c>
      <c r="AH56" s="83" t="s">
        <v>108</v>
      </c>
      <c r="AI56" s="83" t="s">
        <v>108</v>
      </c>
      <c r="AJ56" s="83" t="s">
        <v>108</v>
      </c>
      <c r="AK56" s="83" t="s">
        <v>108</v>
      </c>
      <c r="AL56" s="83" t="s">
        <v>108</v>
      </c>
      <c r="AN56" s="115" t="s">
        <v>376</v>
      </c>
      <c r="AO56" s="190">
        <f>Input!D35</f>
        <v>50</v>
      </c>
      <c r="AP56" s="60"/>
      <c r="AQ56" s="60"/>
      <c r="AR56" s="60"/>
      <c r="AS56" s="60"/>
      <c r="AT56" s="60"/>
      <c r="AU56" s="139"/>
      <c r="AV56" s="140"/>
      <c r="AW56" s="140"/>
      <c r="AX56" s="141"/>
      <c r="AY56" s="141"/>
      <c r="AZ56" s="141"/>
      <c r="BA56" s="141"/>
      <c r="BB56" s="142"/>
    </row>
    <row r="57" spans="5:54" ht="12" customHeight="1"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R57" s="60"/>
      <c r="Z57" s="83"/>
      <c r="AA57" s="83"/>
      <c r="AB57" s="90" t="str">
        <f t="shared" si="16"/>
        <v>SQ IN</v>
      </c>
      <c r="AC57" s="60"/>
      <c r="AD57" s="83" t="s">
        <v>320</v>
      </c>
      <c r="AE57" s="83" t="s">
        <v>321</v>
      </c>
      <c r="AF57" s="83" t="s">
        <v>311</v>
      </c>
      <c r="AG57" s="83" t="s">
        <v>311</v>
      </c>
      <c r="AH57" s="83" t="s">
        <v>311</v>
      </c>
      <c r="AI57" s="83" t="s">
        <v>311</v>
      </c>
      <c r="AJ57" s="83" t="s">
        <v>311</v>
      </c>
      <c r="AK57" s="83" t="s">
        <v>311</v>
      </c>
      <c r="AL57" s="83" t="s">
        <v>311</v>
      </c>
      <c r="AN57" s="115" t="s">
        <v>377</v>
      </c>
      <c r="AO57" s="191">
        <f>Calcs!E31</f>
        <v>218</v>
      </c>
      <c r="AP57" s="193">
        <f>Calcs!E31</f>
        <v>218</v>
      </c>
      <c r="AQ57" s="71"/>
      <c r="AR57" s="71"/>
      <c r="AS57" s="60"/>
      <c r="AT57" s="60"/>
      <c r="AU57" s="143" t="s">
        <v>378</v>
      </c>
      <c r="AV57" s="144"/>
      <c r="AW57" s="144"/>
      <c r="AX57" s="145"/>
      <c r="AY57" s="145"/>
      <c r="AZ57" s="145"/>
      <c r="BA57" s="145"/>
      <c r="BB57" s="146">
        <f>ROUND(MAX(BB53:BB55),4)</f>
        <v>7.0699999999999999E-2</v>
      </c>
    </row>
    <row r="58" spans="5:54" ht="12" customHeight="1">
      <c r="F58" s="60"/>
      <c r="G58" s="60"/>
      <c r="H58" s="60"/>
      <c r="I58" s="60"/>
      <c r="J58" s="60"/>
      <c r="K58" s="60" t="s">
        <v>264</v>
      </c>
      <c r="L58" s="60"/>
      <c r="M58" s="60"/>
      <c r="N58" s="60"/>
      <c r="O58" s="60"/>
      <c r="P58" s="60"/>
      <c r="R58" s="60"/>
      <c r="Z58" s="79" t="s">
        <v>379</v>
      </c>
      <c r="AA58" s="79">
        <v>3</v>
      </c>
      <c r="AB58" s="79">
        <f t="shared" si="16"/>
        <v>2.1100000000000001E-2</v>
      </c>
      <c r="AC58" s="60"/>
      <c r="AD58" s="79" t="s">
        <v>379</v>
      </c>
      <c r="AE58" s="79">
        <v>3</v>
      </c>
      <c r="AF58" s="147">
        <v>3.3300000000000003E-2</v>
      </c>
      <c r="AG58" s="147">
        <v>3.3300000000000003E-2</v>
      </c>
      <c r="AH58" s="147">
        <v>2.1100000000000001E-2</v>
      </c>
      <c r="AI58" s="147">
        <v>2.4299999999999999E-2</v>
      </c>
      <c r="AJ58" s="147">
        <v>5.0999999999999997E-2</v>
      </c>
      <c r="AK58" s="147">
        <v>5.0999999999999997E-2</v>
      </c>
      <c r="AL58" s="147">
        <v>3.9399999999999998E-2</v>
      </c>
      <c r="AN58" s="115" t="s">
        <v>380</v>
      </c>
      <c r="AO58" s="192">
        <f>Input!D12</f>
        <v>208</v>
      </c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</row>
    <row r="59" spans="5:54" ht="12" customHeight="1">
      <c r="F59" s="61" t="s">
        <v>381</v>
      </c>
      <c r="G59" s="61"/>
      <c r="H59" s="60"/>
      <c r="I59" s="60"/>
      <c r="J59" s="60"/>
      <c r="K59" s="60">
        <f>VLOOKUP(M10,F18:P49,4)</f>
        <v>205</v>
      </c>
      <c r="L59" s="60" t="str">
        <f>VLOOKUP(M10,F18:P49,6)</f>
        <v>#250</v>
      </c>
      <c r="M59" s="60">
        <f>VLOOKUP(M10,F18:P49,7)</f>
        <v>14</v>
      </c>
      <c r="N59" s="60"/>
      <c r="O59" s="60"/>
      <c r="P59" s="60"/>
      <c r="R59" s="60"/>
      <c r="Z59" s="83" t="s">
        <v>382</v>
      </c>
      <c r="AA59" s="83">
        <v>4</v>
      </c>
      <c r="AB59" s="79">
        <f t="shared" si="16"/>
        <v>3.6600000000000001E-2</v>
      </c>
      <c r="AC59" s="60"/>
      <c r="AD59" s="83" t="s">
        <v>382</v>
      </c>
      <c r="AE59" s="83">
        <v>4</v>
      </c>
      <c r="AF59" s="88">
        <v>5.5599999999999997E-2</v>
      </c>
      <c r="AG59" s="88">
        <v>5.5599999999999997E-2</v>
      </c>
      <c r="AH59" s="88">
        <v>3.6600000000000001E-2</v>
      </c>
      <c r="AI59" s="88">
        <v>4.3700000000000003E-2</v>
      </c>
      <c r="AJ59" s="88">
        <v>5.0999999999999997E-2</v>
      </c>
      <c r="AK59" s="88">
        <v>5.0999999999999997E-2</v>
      </c>
      <c r="AL59" s="88">
        <v>3.9399999999999998E-2</v>
      </c>
      <c r="AN59" s="115" t="s">
        <v>273</v>
      </c>
      <c r="AO59" s="77">
        <f>I54</f>
        <v>1</v>
      </c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</row>
    <row r="60" spans="5:54" ht="12" customHeight="1">
      <c r="F60" s="64" t="s">
        <v>383</v>
      </c>
      <c r="G60" s="181" t="s">
        <v>3</v>
      </c>
      <c r="H60" s="60"/>
      <c r="I60" s="60"/>
      <c r="J60" s="60"/>
      <c r="K60" s="60">
        <f>IF(AND(M59&lt;10,I54&gt;1),I23,K59)*I54</f>
        <v>205</v>
      </c>
      <c r="L60" s="60" t="str">
        <f>IF(AND(M59&lt;10,I54&gt;1),K23,L59)</f>
        <v>#250</v>
      </c>
      <c r="M60" s="60">
        <f>IF(AND(M59&lt;10,I54&gt;1),10,M59)</f>
        <v>14</v>
      </c>
      <c r="N60" s="60"/>
      <c r="O60" s="60"/>
      <c r="P60" s="60"/>
      <c r="R60" s="60"/>
      <c r="Z60" s="79" t="s">
        <v>322</v>
      </c>
      <c r="AA60" s="79">
        <v>5</v>
      </c>
      <c r="AB60" s="79">
        <f t="shared" si="16"/>
        <v>5.0700000000000002E-2</v>
      </c>
      <c r="AC60" s="60"/>
      <c r="AD60" s="79" t="s">
        <v>322</v>
      </c>
      <c r="AE60" s="79">
        <v>5</v>
      </c>
      <c r="AF60" s="147">
        <v>7.2599999999999998E-2</v>
      </c>
      <c r="AG60" s="147">
        <v>0.1041</v>
      </c>
      <c r="AH60" s="147">
        <v>5.0700000000000002E-2</v>
      </c>
      <c r="AI60" s="147">
        <v>5.8999999999999997E-2</v>
      </c>
      <c r="AJ60" s="147">
        <v>6.6000000000000003E-2</v>
      </c>
      <c r="AK60" s="147">
        <v>4.5199999999999997E-2</v>
      </c>
      <c r="AL60" s="147">
        <v>3.9399999999999998E-2</v>
      </c>
      <c r="AN60" s="72" t="s">
        <v>384</v>
      </c>
      <c r="AO60" s="73">
        <f>H54</f>
        <v>15</v>
      </c>
      <c r="AP60" s="60">
        <f>H54</f>
        <v>15</v>
      </c>
      <c r="AQ60" s="60">
        <f>H55</f>
        <v>15</v>
      </c>
      <c r="AR60" s="60">
        <f>H54</f>
        <v>15</v>
      </c>
      <c r="AS60" s="60"/>
      <c r="AT60" s="60"/>
      <c r="AU60" s="60"/>
      <c r="AV60" s="60"/>
      <c r="AW60" s="60"/>
      <c r="AX60" s="60"/>
      <c r="AY60" s="60"/>
      <c r="AZ60" s="60"/>
    </row>
    <row r="61" spans="5:54" ht="12" customHeight="1">
      <c r="F61" s="68" t="s">
        <v>385</v>
      </c>
      <c r="G61" s="77">
        <f>AA39</f>
        <v>225</v>
      </c>
      <c r="H61" s="60"/>
      <c r="I61" s="60"/>
      <c r="J61" s="60"/>
      <c r="K61" s="60"/>
      <c r="L61" s="60"/>
      <c r="M61" s="60"/>
      <c r="N61" s="60"/>
      <c r="O61" s="60"/>
      <c r="P61" s="60"/>
      <c r="R61" s="60"/>
      <c r="Z61" s="83" t="s">
        <v>325</v>
      </c>
      <c r="AA61" s="83">
        <v>6</v>
      </c>
      <c r="AB61" s="83">
        <f t="shared" si="16"/>
        <v>8.2400000000000001E-2</v>
      </c>
      <c r="AC61" s="60"/>
      <c r="AD61" s="83" t="s">
        <v>325</v>
      </c>
      <c r="AE61" s="83">
        <v>6</v>
      </c>
      <c r="AF61" s="88">
        <v>9.7299999999999998E-2</v>
      </c>
      <c r="AG61" s="88">
        <v>0.1333</v>
      </c>
      <c r="AH61" s="88">
        <v>8.2400000000000001E-2</v>
      </c>
      <c r="AI61" s="88">
        <v>8.14E-2</v>
      </c>
      <c r="AJ61" s="88">
        <v>8.8099999999999998E-2</v>
      </c>
      <c r="AK61" s="88">
        <v>7.2999999999999995E-2</v>
      </c>
      <c r="AL61" s="88">
        <v>5.2999999999999999E-2</v>
      </c>
      <c r="AN61" s="79" t="s">
        <v>314</v>
      </c>
      <c r="AO61" s="79" t="s">
        <v>314</v>
      </c>
      <c r="AP61" s="79" t="str">
        <f t="shared" ref="AP61:AP77" si="17">IF($AO$55="AL",AR61,IF($AO$55="CU",AQ61,"ERR"))</f>
        <v>RES</v>
      </c>
      <c r="AQ61" s="79" t="s">
        <v>386</v>
      </c>
      <c r="AR61" s="79" t="s">
        <v>386</v>
      </c>
      <c r="AS61" s="60"/>
      <c r="AT61" s="60"/>
      <c r="AU61" s="111" t="s">
        <v>387</v>
      </c>
      <c r="AV61" s="112"/>
      <c r="AW61" s="113"/>
      <c r="AX61" s="113"/>
      <c r="AY61" s="113"/>
      <c r="AZ61" s="113"/>
      <c r="BA61" s="113"/>
      <c r="BB61" s="113"/>
    </row>
    <row r="62" spans="5:54" ht="12" customHeight="1">
      <c r="F62" s="82" t="s">
        <v>388</v>
      </c>
      <c r="G62" s="148" t="str">
        <f>G6</f>
        <v>AL</v>
      </c>
      <c r="H62" s="60"/>
      <c r="I62" s="60"/>
      <c r="J62" s="60"/>
      <c r="K62" s="60"/>
      <c r="L62" s="60"/>
      <c r="M62" s="60"/>
      <c r="N62" s="60"/>
      <c r="O62" s="60"/>
      <c r="P62" s="60"/>
      <c r="R62" s="60"/>
      <c r="Z62" s="83" t="s">
        <v>327</v>
      </c>
      <c r="AA62" s="83">
        <v>7</v>
      </c>
      <c r="AB62" s="83">
        <f t="shared" si="16"/>
        <v>9.7299999999999998E-2</v>
      </c>
      <c r="AC62" s="60"/>
      <c r="AD62" s="83" t="s">
        <v>327</v>
      </c>
      <c r="AE62" s="83">
        <v>7</v>
      </c>
      <c r="AF62" s="88">
        <v>0.1134</v>
      </c>
      <c r="AG62" s="88">
        <v>0.15210000000000001</v>
      </c>
      <c r="AH62" s="88">
        <v>9.7299999999999998E-2</v>
      </c>
      <c r="AI62" s="88">
        <v>9.6199999999999994E-2</v>
      </c>
      <c r="AJ62" s="88"/>
      <c r="AK62" s="88"/>
      <c r="AL62" s="88"/>
      <c r="AN62" s="83" t="s">
        <v>108</v>
      </c>
      <c r="AO62" s="83" t="s">
        <v>108</v>
      </c>
      <c r="AP62" s="83" t="str">
        <f t="shared" si="17"/>
        <v>NEC</v>
      </c>
      <c r="AQ62" s="83" t="s">
        <v>389</v>
      </c>
      <c r="AR62" s="83" t="s">
        <v>389</v>
      </c>
      <c r="AS62" s="60"/>
      <c r="AT62" s="60"/>
      <c r="AU62" s="112"/>
      <c r="AV62" s="112"/>
      <c r="AW62" s="112"/>
      <c r="AX62" s="113"/>
      <c r="AY62" s="113"/>
      <c r="AZ62" s="113"/>
      <c r="BA62" s="113"/>
      <c r="BB62" s="113"/>
    </row>
    <row r="63" spans="5:54" ht="12" customHeight="1">
      <c r="F63" s="84" t="s">
        <v>390</v>
      </c>
      <c r="G63" s="75"/>
      <c r="H63" s="60"/>
      <c r="I63" s="60"/>
      <c r="J63" s="60"/>
      <c r="K63" s="60"/>
      <c r="L63" s="60"/>
      <c r="M63" s="60"/>
      <c r="N63" s="60"/>
      <c r="O63" s="60"/>
      <c r="P63" s="60"/>
      <c r="R63" s="60"/>
      <c r="Z63" s="83" t="s">
        <v>326</v>
      </c>
      <c r="AA63" s="83">
        <v>8</v>
      </c>
      <c r="AB63" s="83">
        <f t="shared" si="16"/>
        <v>0.1158</v>
      </c>
      <c r="AC63" s="60"/>
      <c r="AD63" s="83" t="s">
        <v>326</v>
      </c>
      <c r="AE63" s="83">
        <v>8</v>
      </c>
      <c r="AF63" s="88">
        <v>0.1333</v>
      </c>
      <c r="AG63" s="88">
        <v>0.17499999999999999</v>
      </c>
      <c r="AH63" s="88">
        <v>0.1158</v>
      </c>
      <c r="AI63" s="88">
        <v>0.11459999999999999</v>
      </c>
      <c r="AJ63" s="88">
        <v>0.11940000000000001</v>
      </c>
      <c r="AK63" s="88">
        <v>0.1017</v>
      </c>
      <c r="AL63" s="88">
        <v>7.2999999999999995E-2</v>
      </c>
      <c r="AN63" s="83" t="s">
        <v>320</v>
      </c>
      <c r="AO63" s="83" t="s">
        <v>321</v>
      </c>
      <c r="AP63" s="83" t="str">
        <f t="shared" si="17"/>
        <v>AL</v>
      </c>
      <c r="AQ63" s="83" t="s">
        <v>323</v>
      </c>
      <c r="AR63" s="83" t="s">
        <v>324</v>
      </c>
      <c r="AS63" s="60"/>
      <c r="AT63" s="60"/>
      <c r="AU63" s="116">
        <v>1</v>
      </c>
      <c r="AV63" s="117">
        <v>1</v>
      </c>
      <c r="AW63" s="118" t="s">
        <v>353</v>
      </c>
      <c r="AX63" s="119">
        <f>$AO$79</f>
        <v>7.0699999999999999E-2</v>
      </c>
      <c r="AY63" s="117" t="s">
        <v>165</v>
      </c>
      <c r="AZ63" s="117">
        <f>IF($AO$59&gt;1,$AV$63/$AX$63,0)</f>
        <v>0</v>
      </c>
      <c r="BA63" s="117"/>
      <c r="BB63" s="120"/>
    </row>
    <row r="64" spans="5:54" ht="12" customHeight="1">
      <c r="F64" s="79" t="s">
        <v>287</v>
      </c>
      <c r="G64" s="79"/>
      <c r="H64" s="79" t="s">
        <v>307</v>
      </c>
      <c r="I64" s="79" t="s">
        <v>391</v>
      </c>
      <c r="J64" s="79" t="s">
        <v>391</v>
      </c>
      <c r="K64" s="79"/>
      <c r="L64" s="79" t="s">
        <v>307</v>
      </c>
      <c r="M64" s="79" t="s">
        <v>323</v>
      </c>
      <c r="N64" s="79" t="s">
        <v>323</v>
      </c>
      <c r="O64" s="79" t="s">
        <v>324</v>
      </c>
      <c r="P64" s="79" t="s">
        <v>324</v>
      </c>
      <c r="R64" s="60"/>
      <c r="Z64" s="83" t="s">
        <v>328</v>
      </c>
      <c r="AA64" s="83">
        <v>9</v>
      </c>
      <c r="AB64" s="83">
        <f t="shared" si="16"/>
        <v>0.15620000000000001</v>
      </c>
      <c r="AC64" s="60"/>
      <c r="AD64" s="83" t="s">
        <v>328</v>
      </c>
      <c r="AE64" s="83">
        <v>9</v>
      </c>
      <c r="AF64" s="88">
        <v>0.19009999999999999</v>
      </c>
      <c r="AG64" s="88">
        <v>0.26600000000000001</v>
      </c>
      <c r="AH64" s="88">
        <v>0.15620000000000001</v>
      </c>
      <c r="AI64" s="88">
        <v>0.15340000000000001</v>
      </c>
      <c r="AJ64" s="88">
        <v>0.16980000000000001</v>
      </c>
      <c r="AK64" s="88">
        <v>0.13519999999999999</v>
      </c>
      <c r="AL64" s="88">
        <v>0.1017</v>
      </c>
      <c r="AN64" s="79" t="s">
        <v>322</v>
      </c>
      <c r="AO64" s="79">
        <v>5</v>
      </c>
      <c r="AP64" s="147">
        <f t="shared" si="17"/>
        <v>0.80800000000000005</v>
      </c>
      <c r="AQ64" s="147">
        <v>0.49099999999999999</v>
      </c>
      <c r="AR64" s="147">
        <v>0.80800000000000005</v>
      </c>
      <c r="AS64" s="60"/>
      <c r="AT64" s="60"/>
      <c r="AU64" s="121">
        <v>2</v>
      </c>
      <c r="AV64" s="122">
        <v>1</v>
      </c>
      <c r="AW64" s="123" t="s">
        <v>353</v>
      </c>
      <c r="AX64" s="124">
        <f>AO$79</f>
        <v>7.0699999999999999E-2</v>
      </c>
      <c r="AY64" s="122" t="s">
        <v>165</v>
      </c>
      <c r="AZ64" s="122">
        <f>IF(AO$59&gt;1,AV64/AX64,0)</f>
        <v>0</v>
      </c>
      <c r="BA64" s="122"/>
      <c r="BB64" s="125"/>
    </row>
    <row r="65" spans="6:54" ht="12" customHeight="1">
      <c r="F65" s="83" t="s">
        <v>293</v>
      </c>
      <c r="G65" s="83"/>
      <c r="H65" s="83" t="s">
        <v>392</v>
      </c>
      <c r="I65" s="83" t="s">
        <v>314</v>
      </c>
      <c r="J65" s="83" t="s">
        <v>314</v>
      </c>
      <c r="K65" s="83"/>
      <c r="L65" s="83" t="s">
        <v>392</v>
      </c>
      <c r="M65" s="83" t="s">
        <v>314</v>
      </c>
      <c r="N65" s="83" t="s">
        <v>314</v>
      </c>
      <c r="O65" s="83" t="s">
        <v>314</v>
      </c>
      <c r="P65" s="83" t="s">
        <v>314</v>
      </c>
      <c r="R65" s="60"/>
      <c r="Z65" s="83" t="s">
        <v>329</v>
      </c>
      <c r="AA65" s="83">
        <v>10</v>
      </c>
      <c r="AB65" s="83">
        <f t="shared" si="16"/>
        <v>0.1855</v>
      </c>
      <c r="AC65" s="60"/>
      <c r="AD65" s="83" t="s">
        <v>329</v>
      </c>
      <c r="AE65" s="83">
        <v>10</v>
      </c>
      <c r="AF65" s="88">
        <v>0.2223</v>
      </c>
      <c r="AG65" s="88">
        <v>0.3039</v>
      </c>
      <c r="AH65" s="88">
        <v>0.1855</v>
      </c>
      <c r="AI65" s="88">
        <v>0.1825</v>
      </c>
      <c r="AJ65" s="88">
        <v>0.1963</v>
      </c>
      <c r="AK65" s="88">
        <v>0.159</v>
      </c>
      <c r="AL65" s="88">
        <v>0.13519999999999999</v>
      </c>
      <c r="AN65" s="83" t="s">
        <v>325</v>
      </c>
      <c r="AO65" s="83">
        <v>6</v>
      </c>
      <c r="AP65" s="88">
        <f t="shared" si="17"/>
        <v>0.50800000000000001</v>
      </c>
      <c r="AQ65" s="88">
        <v>0.308</v>
      </c>
      <c r="AR65" s="88">
        <v>0.50800000000000001</v>
      </c>
      <c r="AS65" s="60"/>
      <c r="AT65" s="60"/>
      <c r="AU65" s="121">
        <v>3</v>
      </c>
      <c r="AV65" s="122">
        <v>1</v>
      </c>
      <c r="AW65" s="123" t="s">
        <v>353</v>
      </c>
      <c r="AX65" s="124">
        <f>AO$79</f>
        <v>7.0699999999999999E-2</v>
      </c>
      <c r="AY65" s="122" t="s">
        <v>165</v>
      </c>
      <c r="AZ65" s="122">
        <f>IF(AO$59&gt;2,AV65/AX65,0)</f>
        <v>0</v>
      </c>
      <c r="BA65" s="122"/>
      <c r="BB65" s="125"/>
    </row>
    <row r="66" spans="6:54" ht="12" customHeight="1">
      <c r="F66" s="83" t="s">
        <v>167</v>
      </c>
      <c r="G66" s="83"/>
      <c r="H66" s="83" t="s">
        <v>110</v>
      </c>
      <c r="I66" s="83" t="s">
        <v>108</v>
      </c>
      <c r="J66" s="83" t="s">
        <v>321</v>
      </c>
      <c r="K66" s="83"/>
      <c r="L66" s="83" t="s">
        <v>110</v>
      </c>
      <c r="M66" s="83" t="s">
        <v>108</v>
      </c>
      <c r="N66" s="83" t="s">
        <v>321</v>
      </c>
      <c r="O66" s="83" t="s">
        <v>108</v>
      </c>
      <c r="P66" s="83" t="s">
        <v>321</v>
      </c>
      <c r="R66" s="60"/>
      <c r="Z66" s="83" t="s">
        <v>330</v>
      </c>
      <c r="AA66" s="83">
        <v>11</v>
      </c>
      <c r="AB66" s="83">
        <f t="shared" si="16"/>
        <v>0.2223</v>
      </c>
      <c r="AC66" s="60"/>
      <c r="AD66" s="83" t="s">
        <v>330</v>
      </c>
      <c r="AE66" s="83">
        <v>11</v>
      </c>
      <c r="AF66" s="88">
        <v>0.26240000000000002</v>
      </c>
      <c r="AG66" s="88">
        <v>0.35049999999999998</v>
      </c>
      <c r="AH66" s="88">
        <v>0.2223</v>
      </c>
      <c r="AI66" s="88">
        <v>0.219</v>
      </c>
      <c r="AJ66" s="88">
        <v>0.23319999999999999</v>
      </c>
      <c r="AK66" s="88">
        <v>0.19239999999999999</v>
      </c>
      <c r="AL66" s="88">
        <v>0.159</v>
      </c>
      <c r="AN66" s="83" t="str">
        <f>IF(AN28="AL",AN65,"#3")</f>
        <v>#3</v>
      </c>
      <c r="AO66" s="83">
        <f>IF(AN28="AL",AO65,7)</f>
        <v>7</v>
      </c>
      <c r="AP66" s="88">
        <f t="shared" si="17"/>
        <v>0.40300000000000002</v>
      </c>
      <c r="AQ66" s="88">
        <v>0.245</v>
      </c>
      <c r="AR66" s="88">
        <v>0.40300000000000002</v>
      </c>
      <c r="AS66" s="60"/>
      <c r="AT66" s="60"/>
      <c r="AU66" s="121">
        <v>4</v>
      </c>
      <c r="AV66" s="122">
        <v>1</v>
      </c>
      <c r="AW66" s="123" t="s">
        <v>353</v>
      </c>
      <c r="AX66" s="124">
        <f>AO$79</f>
        <v>7.0699999999999999E-2</v>
      </c>
      <c r="AY66" s="122" t="s">
        <v>165</v>
      </c>
      <c r="AZ66" s="122">
        <f>IF(AO$59&gt;3,AV66/AX66,0)</f>
        <v>0</v>
      </c>
      <c r="BA66" s="122"/>
      <c r="BB66" s="125"/>
    </row>
    <row r="67" spans="6:54" ht="14.1" customHeight="1">
      <c r="F67" s="79">
        <v>0</v>
      </c>
      <c r="G67" s="79"/>
      <c r="H67" s="79">
        <v>60</v>
      </c>
      <c r="I67" s="79" t="str">
        <f t="shared" ref="I67:I76" si="18">IF($G$62="CU",M67,IF($G$62="AL",O67,"ERR"))</f>
        <v>#8</v>
      </c>
      <c r="J67" s="79">
        <f t="shared" ref="J67:J76" si="19">IF($G$62="CU",N67,IF($G$62="AL",P67,"ERR"))</f>
        <v>4</v>
      </c>
      <c r="K67" s="79"/>
      <c r="L67" s="79">
        <v>60</v>
      </c>
      <c r="M67" s="79" t="s">
        <v>379</v>
      </c>
      <c r="N67" s="79">
        <v>3</v>
      </c>
      <c r="O67" s="79" t="s">
        <v>382</v>
      </c>
      <c r="P67" s="79">
        <v>4</v>
      </c>
      <c r="R67" s="60"/>
      <c r="Z67" s="83" t="s">
        <v>333</v>
      </c>
      <c r="AA67" s="83">
        <v>12</v>
      </c>
      <c r="AB67" s="83">
        <f t="shared" si="16"/>
        <v>0.26790000000000003</v>
      </c>
      <c r="AC67" s="60"/>
      <c r="AD67" s="83" t="s">
        <v>333</v>
      </c>
      <c r="AE67" s="83">
        <v>12</v>
      </c>
      <c r="AF67" s="88">
        <v>0.31169999999999998</v>
      </c>
      <c r="AG67" s="88">
        <v>0.40720000000000001</v>
      </c>
      <c r="AH67" s="88">
        <v>0.26790000000000003</v>
      </c>
      <c r="AI67" s="88">
        <v>0.26419999999999999</v>
      </c>
      <c r="AJ67" s="88">
        <v>0.27329999999999999</v>
      </c>
      <c r="AK67" s="88">
        <v>0.22900000000000001</v>
      </c>
      <c r="AL67" s="88">
        <v>0.1885</v>
      </c>
      <c r="AN67" s="83" t="s">
        <v>326</v>
      </c>
      <c r="AO67" s="83">
        <v>8</v>
      </c>
      <c r="AP67" s="88">
        <f t="shared" si="17"/>
        <v>0.31900000000000001</v>
      </c>
      <c r="AQ67" s="88">
        <v>0.19400000000000001</v>
      </c>
      <c r="AR67" s="88">
        <v>0.31900000000000001</v>
      </c>
      <c r="AS67" s="60"/>
      <c r="AT67" s="60"/>
      <c r="AU67" s="121">
        <v>5</v>
      </c>
      <c r="AV67" s="122">
        <v>1</v>
      </c>
      <c r="AW67" s="123" t="s">
        <v>353</v>
      </c>
      <c r="AX67" s="124">
        <f>AO$79</f>
        <v>7.0699999999999999E-2</v>
      </c>
      <c r="AY67" s="122" t="s">
        <v>165</v>
      </c>
      <c r="AZ67" s="122">
        <f>IF(AO$59&gt;4,AV67/AX67,0)</f>
        <v>0</v>
      </c>
      <c r="BA67" s="122"/>
      <c r="BB67" s="125"/>
    </row>
    <row r="68" spans="6:54" ht="14.1" customHeight="1">
      <c r="F68" s="83">
        <f t="shared" ref="F68:F76" si="20">H67+0.00001</f>
        <v>60.000010000000003</v>
      </c>
      <c r="G68" s="83"/>
      <c r="H68" s="83">
        <v>100</v>
      </c>
      <c r="I68" s="83" t="str">
        <f t="shared" si="18"/>
        <v>#6</v>
      </c>
      <c r="J68" s="83">
        <f t="shared" si="19"/>
        <v>5</v>
      </c>
      <c r="K68" s="83"/>
      <c r="L68" s="83">
        <v>100</v>
      </c>
      <c r="M68" s="83" t="s">
        <v>382</v>
      </c>
      <c r="N68" s="83">
        <v>4</v>
      </c>
      <c r="O68" s="83" t="s">
        <v>322</v>
      </c>
      <c r="P68" s="83">
        <v>5</v>
      </c>
      <c r="R68" s="60"/>
      <c r="Z68" s="83" t="s">
        <v>334</v>
      </c>
      <c r="AA68" s="83">
        <v>13</v>
      </c>
      <c r="AB68" s="83">
        <f t="shared" si="16"/>
        <v>0.32369999999999999</v>
      </c>
      <c r="AC68" s="60"/>
      <c r="AD68" s="83" t="s">
        <v>334</v>
      </c>
      <c r="AE68" s="83">
        <v>13</v>
      </c>
      <c r="AF68" s="88">
        <v>0.37180000000000002</v>
      </c>
      <c r="AG68" s="88">
        <v>0.47539999999999999</v>
      </c>
      <c r="AH68" s="88">
        <v>0.32369999999999999</v>
      </c>
      <c r="AI68" s="88">
        <v>0.31969999999999998</v>
      </c>
      <c r="AJ68" s="88">
        <v>0.32669999999999999</v>
      </c>
      <c r="AK68" s="88">
        <v>0.27800000000000002</v>
      </c>
      <c r="AL68" s="88">
        <v>0.22900000000000001</v>
      </c>
      <c r="AN68" s="83" t="s">
        <v>328</v>
      </c>
      <c r="AO68" s="83">
        <v>9</v>
      </c>
      <c r="AP68" s="88">
        <f t="shared" si="17"/>
        <v>0.253</v>
      </c>
      <c r="AQ68" s="88">
        <v>0.154</v>
      </c>
      <c r="AR68" s="88">
        <v>0.253</v>
      </c>
      <c r="AS68" s="60"/>
      <c r="AT68" s="60"/>
      <c r="AU68" s="121">
        <v>6</v>
      </c>
      <c r="AV68" s="122">
        <v>1</v>
      </c>
      <c r="AW68" s="123" t="s">
        <v>353</v>
      </c>
      <c r="AX68" s="124">
        <f>AO$79</f>
        <v>7.0699999999999999E-2</v>
      </c>
      <c r="AY68" s="122" t="s">
        <v>165</v>
      </c>
      <c r="AZ68" s="122">
        <f>IF(AO$59&gt;5,AV68/AX68,0)</f>
        <v>0</v>
      </c>
      <c r="BA68" s="122"/>
      <c r="BB68" s="125"/>
    </row>
    <row r="69" spans="6:54" ht="14.1" customHeight="1">
      <c r="F69" s="83">
        <f t="shared" si="20"/>
        <v>100.00001</v>
      </c>
      <c r="G69" s="83"/>
      <c r="H69" s="83">
        <v>200</v>
      </c>
      <c r="I69" s="83" t="str">
        <f t="shared" si="18"/>
        <v>#4</v>
      </c>
      <c r="J69" s="83">
        <f t="shared" si="19"/>
        <v>6</v>
      </c>
      <c r="K69" s="83"/>
      <c r="L69" s="83">
        <v>200</v>
      </c>
      <c r="M69" s="83" t="s">
        <v>322</v>
      </c>
      <c r="N69" s="83">
        <v>5</v>
      </c>
      <c r="O69" s="83" t="s">
        <v>325</v>
      </c>
      <c r="P69" s="83">
        <v>6</v>
      </c>
      <c r="R69" s="60"/>
      <c r="Z69" s="83" t="s">
        <v>336</v>
      </c>
      <c r="AA69" s="83">
        <v>14</v>
      </c>
      <c r="AB69" s="83">
        <f t="shared" si="16"/>
        <v>0.39700000000000002</v>
      </c>
      <c r="AC69" s="60"/>
      <c r="AD69" s="83" t="s">
        <v>336</v>
      </c>
      <c r="AE69" s="83">
        <v>14</v>
      </c>
      <c r="AF69" s="88">
        <v>0.45960000000000001</v>
      </c>
      <c r="AG69" s="88">
        <v>0.62909999999999999</v>
      </c>
      <c r="AH69" s="88">
        <v>0.39700000000000002</v>
      </c>
      <c r="AI69" s="88">
        <v>0.39040000000000002</v>
      </c>
      <c r="AJ69" s="88">
        <v>0.4128</v>
      </c>
      <c r="AK69" s="88">
        <v>0.35249999999999998</v>
      </c>
      <c r="AL69" s="88">
        <v>0.27329999999999999</v>
      </c>
      <c r="AN69" s="83" t="s">
        <v>329</v>
      </c>
      <c r="AO69" s="83">
        <v>10</v>
      </c>
      <c r="AP69" s="88">
        <f t="shared" si="17"/>
        <v>0.20100000000000001</v>
      </c>
      <c r="AQ69" s="88">
        <v>0.122</v>
      </c>
      <c r="AR69" s="88">
        <v>0.20100000000000001</v>
      </c>
      <c r="AS69" s="60"/>
      <c r="AT69" s="60"/>
      <c r="AU69" s="128"/>
      <c r="AV69" s="122"/>
      <c r="AW69" s="129"/>
      <c r="AX69" s="124"/>
      <c r="AY69" s="122"/>
      <c r="AZ69" s="122"/>
      <c r="BA69" s="122"/>
      <c r="BB69" s="125"/>
    </row>
    <row r="70" spans="6:54" ht="14.1" customHeight="1">
      <c r="F70" s="83">
        <f t="shared" si="20"/>
        <v>200.00001</v>
      </c>
      <c r="G70" s="83"/>
      <c r="H70" s="83">
        <v>300</v>
      </c>
      <c r="I70" s="83" t="str">
        <f t="shared" si="18"/>
        <v>#2</v>
      </c>
      <c r="J70" s="83">
        <f t="shared" si="19"/>
        <v>8</v>
      </c>
      <c r="K70" s="83"/>
      <c r="L70" s="83">
        <v>300</v>
      </c>
      <c r="M70" s="83" t="s">
        <v>325</v>
      </c>
      <c r="N70" s="83">
        <v>6</v>
      </c>
      <c r="O70" s="83" t="s">
        <v>326</v>
      </c>
      <c r="P70" s="83">
        <v>8</v>
      </c>
      <c r="R70" s="60"/>
      <c r="Z70" s="83" t="s">
        <v>337</v>
      </c>
      <c r="AA70" s="83">
        <v>15</v>
      </c>
      <c r="AB70" s="83">
        <f t="shared" si="16"/>
        <v>0.46079999999999999</v>
      </c>
      <c r="AC70" s="60"/>
      <c r="AD70" s="83" t="s">
        <v>337</v>
      </c>
      <c r="AE70" s="83">
        <v>15</v>
      </c>
      <c r="AF70" s="88">
        <v>0.52810000000000001</v>
      </c>
      <c r="AG70" s="88">
        <v>0.70879999999999999</v>
      </c>
      <c r="AH70" s="88">
        <v>0.46079999999999999</v>
      </c>
      <c r="AI70" s="88">
        <v>0.4536</v>
      </c>
      <c r="AJ70" s="88">
        <v>0.47170000000000001</v>
      </c>
      <c r="AK70" s="88">
        <v>0.40710000000000002</v>
      </c>
      <c r="AL70" s="88">
        <v>0.34210000000000002</v>
      </c>
      <c r="AN70" s="83" t="s">
        <v>330</v>
      </c>
      <c r="AO70" s="83">
        <v>11</v>
      </c>
      <c r="AP70" s="88">
        <f t="shared" si="17"/>
        <v>0.159</v>
      </c>
      <c r="AQ70" s="88">
        <v>9.6699999999999994E-2</v>
      </c>
      <c r="AR70" s="88">
        <v>0.159</v>
      </c>
      <c r="AS70" s="60"/>
      <c r="AT70" s="60"/>
      <c r="AU70" s="130" t="s">
        <v>360</v>
      </c>
      <c r="AV70" s="131"/>
      <c r="AW70" s="132"/>
      <c r="AX70" s="122">
        <v>1</v>
      </c>
      <c r="AY70" s="122" t="s">
        <v>353</v>
      </c>
      <c r="AZ70" s="122">
        <f>SUM(AZ63:AZ68)</f>
        <v>0</v>
      </c>
      <c r="BA70" s="122" t="s">
        <v>165</v>
      </c>
      <c r="BB70" s="125">
        <f>IF(AO$59=1,0,AX70/AZ70)</f>
        <v>0</v>
      </c>
    </row>
    <row r="71" spans="6:54" ht="14.1" customHeight="1">
      <c r="F71" s="83">
        <f t="shared" si="20"/>
        <v>300.00000999999997</v>
      </c>
      <c r="G71" s="83"/>
      <c r="H71" s="83">
        <v>400</v>
      </c>
      <c r="I71" s="83" t="str">
        <f t="shared" si="18"/>
        <v>#1</v>
      </c>
      <c r="J71" s="83">
        <f t="shared" si="19"/>
        <v>9</v>
      </c>
      <c r="K71" s="83"/>
      <c r="L71" s="83">
        <v>400</v>
      </c>
      <c r="M71" s="83" t="s">
        <v>327</v>
      </c>
      <c r="N71" s="83">
        <v>7</v>
      </c>
      <c r="O71" s="83" t="s">
        <v>328</v>
      </c>
      <c r="P71" s="83">
        <v>9</v>
      </c>
      <c r="R71" s="60"/>
      <c r="Z71" s="83" t="s">
        <v>339</v>
      </c>
      <c r="AA71" s="83">
        <v>16</v>
      </c>
      <c r="AB71" s="83">
        <f t="shared" si="16"/>
        <v>0.5242</v>
      </c>
      <c r="AC71" s="60"/>
      <c r="AD71" s="83" t="s">
        <v>339</v>
      </c>
      <c r="AE71" s="83">
        <v>16</v>
      </c>
      <c r="AF71" s="88">
        <v>0.5958</v>
      </c>
      <c r="AG71" s="88">
        <v>0.78700000000000003</v>
      </c>
      <c r="AH71" s="88">
        <v>0.5242</v>
      </c>
      <c r="AI71" s="88">
        <v>0.51659999999999995</v>
      </c>
      <c r="AJ71" s="88">
        <v>0.52810000000000001</v>
      </c>
      <c r="AK71" s="88">
        <v>0.46560000000000001</v>
      </c>
      <c r="AL71" s="88">
        <v>0.40150000000000002</v>
      </c>
      <c r="AN71" s="83" t="s">
        <v>333</v>
      </c>
      <c r="AO71" s="83">
        <v>12</v>
      </c>
      <c r="AP71" s="88">
        <f t="shared" si="17"/>
        <v>0.126</v>
      </c>
      <c r="AQ71" s="88">
        <v>7.6600000000000001E-2</v>
      </c>
      <c r="AR71" s="88">
        <v>0.126</v>
      </c>
      <c r="AS71" s="60"/>
      <c r="AT71" s="60"/>
      <c r="AU71" s="134"/>
      <c r="AV71" s="132"/>
      <c r="AW71" s="132"/>
      <c r="AX71" s="135"/>
      <c r="AY71" s="135"/>
      <c r="AZ71" s="135"/>
      <c r="BA71" s="135"/>
      <c r="BB71" s="136"/>
    </row>
    <row r="72" spans="6:54" ht="14.1" customHeight="1">
      <c r="F72" s="83">
        <f t="shared" si="20"/>
        <v>400.00000999999997</v>
      </c>
      <c r="G72" s="83"/>
      <c r="H72" s="83">
        <v>500</v>
      </c>
      <c r="I72" s="83" t="str">
        <f t="shared" si="18"/>
        <v>#1/0</v>
      </c>
      <c r="J72" s="83">
        <f t="shared" si="19"/>
        <v>10</v>
      </c>
      <c r="K72" s="83"/>
      <c r="L72" s="83">
        <v>500</v>
      </c>
      <c r="M72" s="83" t="s">
        <v>326</v>
      </c>
      <c r="N72" s="83">
        <v>8</v>
      </c>
      <c r="O72" s="83" t="s">
        <v>329</v>
      </c>
      <c r="P72" s="83">
        <v>10</v>
      </c>
      <c r="R72" s="60"/>
      <c r="Z72" s="83" t="s">
        <v>340</v>
      </c>
      <c r="AA72" s="83">
        <v>17</v>
      </c>
      <c r="AB72" s="83">
        <f t="shared" si="16"/>
        <v>0.58630000000000004</v>
      </c>
      <c r="AC72" s="60"/>
      <c r="AD72" s="83" t="s">
        <v>340</v>
      </c>
      <c r="AE72" s="83">
        <v>17</v>
      </c>
      <c r="AF72" s="88">
        <v>0.66190000000000004</v>
      </c>
      <c r="AG72" s="88">
        <v>0.86260000000000003</v>
      </c>
      <c r="AH72" s="88">
        <v>0.58630000000000004</v>
      </c>
      <c r="AI72" s="88">
        <v>0.57820000000000005</v>
      </c>
      <c r="AJ72" s="88">
        <v>0.58760000000000001</v>
      </c>
      <c r="AK72" s="88">
        <v>0.52159999999999995</v>
      </c>
      <c r="AL72" s="88">
        <v>0.4536</v>
      </c>
      <c r="AN72" s="83" t="s">
        <v>334</v>
      </c>
      <c r="AO72" s="83">
        <v>13</v>
      </c>
      <c r="AP72" s="88">
        <f t="shared" si="17"/>
        <v>0.1</v>
      </c>
      <c r="AQ72" s="88">
        <v>6.08E-2</v>
      </c>
      <c r="AR72" s="88">
        <v>0.1</v>
      </c>
      <c r="AS72" s="60"/>
      <c r="AT72" s="60"/>
      <c r="AU72" s="130" t="s">
        <v>374</v>
      </c>
      <c r="AV72" s="131"/>
      <c r="AW72" s="132"/>
      <c r="AX72" s="135"/>
      <c r="AY72" s="135"/>
      <c r="AZ72" s="135"/>
      <c r="BA72" s="135"/>
      <c r="BB72" s="138">
        <f>IF($AO$59&gt;1,0,$AO$79)</f>
        <v>7.0699999999999999E-2</v>
      </c>
    </row>
    <row r="73" spans="6:54" ht="14.1" customHeight="1">
      <c r="F73" s="83">
        <f t="shared" si="20"/>
        <v>500.00000999999997</v>
      </c>
      <c r="G73" s="83"/>
      <c r="H73" s="83">
        <v>600</v>
      </c>
      <c r="I73" s="83" t="str">
        <f t="shared" si="18"/>
        <v>#2/0</v>
      </c>
      <c r="J73" s="83">
        <f t="shared" si="19"/>
        <v>11</v>
      </c>
      <c r="K73" s="83"/>
      <c r="L73" s="83">
        <v>600</v>
      </c>
      <c r="M73" s="83" t="s">
        <v>328</v>
      </c>
      <c r="N73" s="83">
        <v>9</v>
      </c>
      <c r="O73" s="83" t="s">
        <v>330</v>
      </c>
      <c r="P73" s="83">
        <v>11</v>
      </c>
      <c r="R73" s="60"/>
      <c r="Z73" s="90" t="s">
        <v>341</v>
      </c>
      <c r="AA73" s="90">
        <v>18</v>
      </c>
      <c r="AB73" s="90">
        <f t="shared" si="16"/>
        <v>0.70730000000000004</v>
      </c>
      <c r="AC73" s="60"/>
      <c r="AD73" s="90" t="s">
        <v>341</v>
      </c>
      <c r="AE73" s="90">
        <v>18</v>
      </c>
      <c r="AF73" s="93">
        <v>0.79010000000000002</v>
      </c>
      <c r="AG73" s="93">
        <v>1.0082</v>
      </c>
      <c r="AH73" s="93">
        <v>0.70730000000000004</v>
      </c>
      <c r="AI73" s="93">
        <v>0.69840000000000002</v>
      </c>
      <c r="AJ73" s="93">
        <v>0.69389999999999996</v>
      </c>
      <c r="AK73" s="93">
        <v>0.61509999999999998</v>
      </c>
      <c r="AL73" s="93">
        <v>0.50260000000000005</v>
      </c>
      <c r="AN73" s="83" t="s">
        <v>336</v>
      </c>
      <c r="AO73" s="83">
        <v>14</v>
      </c>
      <c r="AP73" s="88">
        <f t="shared" si="17"/>
        <v>8.4699999999999998E-2</v>
      </c>
      <c r="AQ73" s="88">
        <v>5.1499999999999997E-2</v>
      </c>
      <c r="AR73" s="88">
        <v>8.4699999999999998E-2</v>
      </c>
      <c r="AS73" s="60"/>
      <c r="AT73" s="60"/>
      <c r="AU73" s="139"/>
      <c r="AV73" s="140"/>
      <c r="AW73" s="140"/>
      <c r="AX73" s="141"/>
      <c r="AY73" s="141"/>
      <c r="AZ73" s="141"/>
      <c r="BA73" s="141"/>
      <c r="BB73" s="142"/>
    </row>
    <row r="74" spans="6:54" ht="14.1" customHeight="1">
      <c r="F74" s="83">
        <f t="shared" si="20"/>
        <v>600.00000999999997</v>
      </c>
      <c r="G74" s="83"/>
      <c r="H74" s="83">
        <v>800</v>
      </c>
      <c r="I74" s="83" t="str">
        <f t="shared" si="18"/>
        <v>#3/0</v>
      </c>
      <c r="J74" s="83">
        <f t="shared" si="19"/>
        <v>12</v>
      </c>
      <c r="K74" s="83"/>
      <c r="L74" s="83">
        <v>800</v>
      </c>
      <c r="M74" s="83" t="s">
        <v>329</v>
      </c>
      <c r="N74" s="83">
        <v>10</v>
      </c>
      <c r="O74" s="83" t="s">
        <v>333</v>
      </c>
      <c r="P74" s="83">
        <v>12</v>
      </c>
      <c r="R74" s="60"/>
      <c r="Z74" s="60"/>
      <c r="AA74" s="60"/>
      <c r="AB74" s="75"/>
      <c r="AC74" s="60"/>
      <c r="AD74" s="75"/>
      <c r="AE74" s="60"/>
      <c r="AF74" s="60"/>
      <c r="AG74" s="60"/>
      <c r="AH74" s="60"/>
      <c r="AI74" s="60"/>
      <c r="AJ74" s="60"/>
      <c r="AK74" s="60"/>
      <c r="AL74" s="60"/>
      <c r="AN74" s="83" t="s">
        <v>337</v>
      </c>
      <c r="AO74" s="83">
        <v>15</v>
      </c>
      <c r="AP74" s="88">
        <f t="shared" si="17"/>
        <v>7.0699999999999999E-2</v>
      </c>
      <c r="AQ74" s="88">
        <v>4.2900000000000001E-2</v>
      </c>
      <c r="AR74" s="88">
        <v>7.0699999999999999E-2</v>
      </c>
      <c r="AS74" s="60"/>
      <c r="AT74" s="60"/>
      <c r="AU74" s="143" t="s">
        <v>378</v>
      </c>
      <c r="AV74" s="144"/>
      <c r="AW74" s="144"/>
      <c r="AX74" s="145"/>
      <c r="AY74" s="145"/>
      <c r="AZ74" s="145"/>
      <c r="BA74" s="145"/>
      <c r="BB74" s="146">
        <f>ROUND(MAX(BB70:BB72),4)</f>
        <v>7.0699999999999999E-2</v>
      </c>
    </row>
    <row r="75" spans="6:54" ht="14.1" customHeight="1">
      <c r="F75" s="83">
        <f t="shared" si="20"/>
        <v>800.00000999999997</v>
      </c>
      <c r="G75" s="83"/>
      <c r="H75" s="83">
        <v>1000</v>
      </c>
      <c r="I75" s="83" t="str">
        <f t="shared" si="18"/>
        <v>#4/0</v>
      </c>
      <c r="J75" s="83">
        <f t="shared" si="19"/>
        <v>13</v>
      </c>
      <c r="K75" s="83"/>
      <c r="L75" s="83">
        <v>1000</v>
      </c>
      <c r="M75" s="83" t="s">
        <v>330</v>
      </c>
      <c r="N75" s="83">
        <v>11</v>
      </c>
      <c r="O75" s="83" t="s">
        <v>334</v>
      </c>
      <c r="P75" s="83">
        <v>13</v>
      </c>
      <c r="R75" s="60"/>
      <c r="Z75" s="95" t="s">
        <v>393</v>
      </c>
      <c r="AA75" s="126">
        <f>VLOOKUP(AA45,AA58:AB73,1)</f>
        <v>15</v>
      </c>
      <c r="AB75" s="126"/>
      <c r="AC75" s="126" t="s">
        <v>394</v>
      </c>
      <c r="AD75" s="126" t="s">
        <v>366</v>
      </c>
      <c r="AE75" s="126" t="s">
        <v>395</v>
      </c>
      <c r="AF75" s="126" t="s">
        <v>338</v>
      </c>
      <c r="AG75" s="126"/>
      <c r="AH75" s="126"/>
      <c r="AI75" s="126"/>
      <c r="AJ75" s="96"/>
      <c r="AK75" s="60"/>
      <c r="AL75" s="60"/>
      <c r="AN75" s="83" t="s">
        <v>339</v>
      </c>
      <c r="AO75" s="83">
        <v>16</v>
      </c>
      <c r="AP75" s="88">
        <f t="shared" si="17"/>
        <v>6.0499999999999998E-2</v>
      </c>
      <c r="AQ75" s="88">
        <v>3.6700000000000003E-2</v>
      </c>
      <c r="AR75" s="88">
        <v>6.0499999999999998E-2</v>
      </c>
      <c r="AS75" s="60"/>
      <c r="AT75" s="60"/>
      <c r="AU75" s="60"/>
      <c r="AV75" s="60"/>
      <c r="AW75" s="60"/>
    </row>
    <row r="76" spans="6:54" ht="14.1" customHeight="1">
      <c r="F76" s="90">
        <f t="shared" si="20"/>
        <v>1000.00001</v>
      </c>
      <c r="G76" s="90"/>
      <c r="H76" s="90">
        <v>1200</v>
      </c>
      <c r="I76" s="90" t="str">
        <f t="shared" si="18"/>
        <v>#250</v>
      </c>
      <c r="J76" s="90">
        <f t="shared" si="19"/>
        <v>14</v>
      </c>
      <c r="K76" s="90"/>
      <c r="L76" s="90">
        <v>1200</v>
      </c>
      <c r="M76" s="90" t="s">
        <v>333</v>
      </c>
      <c r="N76" s="90">
        <v>12</v>
      </c>
      <c r="O76" s="90" t="s">
        <v>336</v>
      </c>
      <c r="P76" s="90">
        <v>14</v>
      </c>
      <c r="R76" s="60"/>
      <c r="Z76" s="149" t="s">
        <v>396</v>
      </c>
      <c r="AA76" s="75">
        <f>VLOOKUP(AA45,AA58:AB73,2)</f>
        <v>0.46079999999999999</v>
      </c>
      <c r="AB76" s="75" t="s">
        <v>30</v>
      </c>
      <c r="AC76" s="186">
        <f>IF(Input!D11=1,2,3)</f>
        <v>3</v>
      </c>
      <c r="AD76" s="75"/>
      <c r="AE76" s="75"/>
      <c r="AF76" s="75">
        <f>SUM(AC76:AE76)</f>
        <v>3</v>
      </c>
      <c r="AG76" s="75" t="s">
        <v>165</v>
      </c>
      <c r="AH76" s="75">
        <f>AA76*AF76</f>
        <v>1.3824000000000001</v>
      </c>
      <c r="AI76" s="75">
        <f>AA76</f>
        <v>0.46079999999999999</v>
      </c>
      <c r="AJ76" s="107">
        <f>IF(MAX(AI$76:AI$82)=AI76,0,1)</f>
        <v>0</v>
      </c>
      <c r="AK76" s="60">
        <v>1</v>
      </c>
      <c r="AL76" s="60" t="str">
        <f>VLOOKUP(AA45,AA58:AD73,4)</f>
        <v>#300</v>
      </c>
      <c r="AN76" s="83" t="s">
        <v>340</v>
      </c>
      <c r="AO76" s="83">
        <v>17</v>
      </c>
      <c r="AP76" s="88">
        <f t="shared" si="17"/>
        <v>5.2900000000000003E-2</v>
      </c>
      <c r="AQ76" s="88">
        <v>3.2099999999999997E-2</v>
      </c>
      <c r="AR76" s="88">
        <v>5.2900000000000003E-2</v>
      </c>
      <c r="AS76" s="60"/>
      <c r="AT76" s="60"/>
      <c r="AU76" s="60"/>
      <c r="AV76" s="60"/>
      <c r="AW76" s="60"/>
    </row>
    <row r="77" spans="6:54" ht="14.1" customHeight="1">
      <c r="F77" s="105" t="s">
        <v>308</v>
      </c>
      <c r="G77" s="126" t="s">
        <v>308</v>
      </c>
      <c r="H77" s="126" t="s">
        <v>308</v>
      </c>
      <c r="I77" s="96" t="s">
        <v>308</v>
      </c>
      <c r="J77" s="60"/>
      <c r="K77" s="60"/>
      <c r="L77" s="60"/>
      <c r="M77" s="60"/>
      <c r="N77" s="60"/>
      <c r="O77" s="60"/>
      <c r="P77" s="60"/>
      <c r="R77" s="60"/>
      <c r="Z77" s="149" t="s">
        <v>397</v>
      </c>
      <c r="AA77" s="75">
        <f>H55</f>
        <v>15</v>
      </c>
      <c r="AB77" s="75"/>
      <c r="AC77" s="75"/>
      <c r="AD77" s="75"/>
      <c r="AE77" s="75"/>
      <c r="AF77" s="75"/>
      <c r="AG77" s="75"/>
      <c r="AH77" s="75"/>
      <c r="AI77" s="75"/>
      <c r="AJ77" s="107"/>
      <c r="AK77" s="60"/>
      <c r="AL77" s="60"/>
      <c r="AN77" s="90" t="s">
        <v>341</v>
      </c>
      <c r="AO77" s="90">
        <v>18</v>
      </c>
      <c r="AP77" s="93">
        <f t="shared" si="17"/>
        <v>4.24E-2</v>
      </c>
      <c r="AQ77" s="93">
        <v>2.58E-2</v>
      </c>
      <c r="AR77" s="93">
        <v>4.24E-2</v>
      </c>
      <c r="AS77" s="60"/>
      <c r="AT77" s="60"/>
      <c r="AU77" s="60"/>
      <c r="AV77" s="60"/>
      <c r="AW77" s="60"/>
    </row>
    <row r="78" spans="6:54" ht="14.1" customHeight="1">
      <c r="F78" s="106" t="s">
        <v>293</v>
      </c>
      <c r="G78" s="75" t="s">
        <v>314</v>
      </c>
      <c r="H78" s="75" t="s">
        <v>314</v>
      </c>
      <c r="I78" s="107" t="s">
        <v>314</v>
      </c>
      <c r="J78" s="60"/>
      <c r="K78" s="60"/>
      <c r="L78" s="60"/>
      <c r="M78" s="60"/>
      <c r="N78" s="60"/>
      <c r="O78" s="60"/>
      <c r="P78" s="60"/>
      <c r="R78" s="60"/>
      <c r="Z78" s="149" t="s">
        <v>398</v>
      </c>
      <c r="AA78" s="75">
        <f>VLOOKUP(AA77,AA58:AB73,2)</f>
        <v>0.46079999999999999</v>
      </c>
      <c r="AB78" s="75" t="s">
        <v>30</v>
      </c>
      <c r="AC78" s="75"/>
      <c r="AD78" s="186">
        <f>IF(Input!D11=1,0,1)</f>
        <v>1</v>
      </c>
      <c r="AE78" s="75"/>
      <c r="AF78" s="75">
        <v>0</v>
      </c>
      <c r="AG78" s="75" t="s">
        <v>165</v>
      </c>
      <c r="AH78" s="75">
        <f>AA78*AF78</f>
        <v>0</v>
      </c>
      <c r="AI78" s="75">
        <f>AA78</f>
        <v>0.46079999999999999</v>
      </c>
      <c r="AJ78" s="107">
        <f>IF(MAX(AI$76:AI$82)=AI78,0,1)</f>
        <v>0</v>
      </c>
      <c r="AK78" s="60">
        <v>3</v>
      </c>
      <c r="AL78" s="60" t="str">
        <f>VLOOKUP(AA77,AA58:AD73,4)</f>
        <v>#300</v>
      </c>
      <c r="AN78" s="69" t="s">
        <v>384</v>
      </c>
      <c r="AO78" s="60">
        <f>VLOOKUP(AO60,AO61:AP77,1)</f>
        <v>15</v>
      </c>
      <c r="AP78" s="60">
        <f>VLOOKUP(AP60,AO61:AP77,1)</f>
        <v>15</v>
      </c>
      <c r="AQ78" s="60">
        <f>VLOOKUP(AQ60,AO61:AP77,1)</f>
        <v>15</v>
      </c>
      <c r="AR78" s="60">
        <f>VLOOKUP(AR60,AO61:AP77,1)</f>
        <v>15</v>
      </c>
      <c r="AS78" s="60"/>
      <c r="AT78" s="60"/>
      <c r="AU78" s="60"/>
      <c r="AV78" s="60"/>
      <c r="AW78" s="60"/>
      <c r="AX78" s="60"/>
      <c r="AY78" s="60"/>
      <c r="AZ78" s="60"/>
    </row>
    <row r="79" spans="6:54" ht="14.1" customHeight="1">
      <c r="F79" s="106" t="s">
        <v>166</v>
      </c>
      <c r="G79" s="75" t="s">
        <v>108</v>
      </c>
      <c r="H79" s="75" t="s">
        <v>108</v>
      </c>
      <c r="I79" s="107" t="s">
        <v>319</v>
      </c>
      <c r="J79" s="60"/>
      <c r="K79" s="60"/>
      <c r="L79" s="60"/>
      <c r="M79" s="60"/>
      <c r="N79" s="60"/>
      <c r="O79" s="60"/>
      <c r="P79" s="60"/>
      <c r="R79" s="60"/>
      <c r="Z79" s="149" t="s">
        <v>399</v>
      </c>
      <c r="AA79" s="75">
        <f>H56</f>
        <v>14</v>
      </c>
      <c r="AB79" s="75"/>
      <c r="AC79" s="75"/>
      <c r="AD79" s="75"/>
      <c r="AE79" s="75"/>
      <c r="AF79" s="75"/>
      <c r="AG79" s="75"/>
      <c r="AH79" s="75"/>
      <c r="AI79" s="75"/>
      <c r="AJ79" s="107"/>
      <c r="AK79" s="60"/>
      <c r="AL79" s="60"/>
      <c r="AN79" s="69" t="s">
        <v>400</v>
      </c>
      <c r="AO79" s="150">
        <f>VLOOKUP(AO60,AO61:AP77,2)</f>
        <v>7.0699999999999999E-2</v>
      </c>
      <c r="AP79" s="151">
        <f>VLOOKUP(AP60,AO61:AP77,2)</f>
        <v>7.0699999999999999E-2</v>
      </c>
      <c r="AQ79" s="152">
        <f>VLOOKUP(AQ60,AO61:AP77,2)</f>
        <v>7.0699999999999999E-2</v>
      </c>
      <c r="AR79" s="60">
        <f>VLOOKUP(AR60,AO61:AP77,2)</f>
        <v>7.0699999999999999E-2</v>
      </c>
      <c r="AS79" s="60"/>
      <c r="AT79" s="60"/>
      <c r="AU79" s="60"/>
      <c r="AV79" s="60"/>
      <c r="AW79" s="60"/>
      <c r="AX79" s="60"/>
      <c r="AY79" s="60"/>
      <c r="AZ79" s="60"/>
    </row>
    <row r="80" spans="6:54" ht="14.1" customHeight="1">
      <c r="F80" s="106" t="s">
        <v>401</v>
      </c>
      <c r="G80" s="75" t="s">
        <v>320</v>
      </c>
      <c r="H80" s="75" t="s">
        <v>321</v>
      </c>
      <c r="I80" s="107" t="s">
        <v>41</v>
      </c>
      <c r="J80" s="60"/>
      <c r="K80" s="60"/>
      <c r="L80" s="60"/>
      <c r="M80" s="60"/>
      <c r="N80" s="60"/>
      <c r="O80" s="60"/>
      <c r="P80" s="60"/>
      <c r="R80" s="60"/>
      <c r="Z80" s="149" t="s">
        <v>402</v>
      </c>
      <c r="AA80" s="75">
        <f>VLOOKUP(AA79,AA58:AB73,2)</f>
        <v>0.39700000000000002</v>
      </c>
      <c r="AB80" s="75" t="s">
        <v>30</v>
      </c>
      <c r="AC80" s="75"/>
      <c r="AD80" s="75"/>
      <c r="AE80" s="75">
        <v>1</v>
      </c>
      <c r="AF80" s="75">
        <f>SUM(AC80:AE80)</f>
        <v>1</v>
      </c>
      <c r="AG80" s="75" t="s">
        <v>165</v>
      </c>
      <c r="AH80" s="75">
        <f>(AA80*AF80)</f>
        <v>0.39700000000000002</v>
      </c>
      <c r="AI80" s="75">
        <f>AA80</f>
        <v>0.39700000000000002</v>
      </c>
      <c r="AJ80" s="107">
        <f>IF(MAX(AI$76:AI$82)=AI80,0,3)</f>
        <v>3</v>
      </c>
      <c r="AK80" s="60">
        <v>4</v>
      </c>
      <c r="AL80" s="60" t="str">
        <f>VLOOKUP(AA79,AA58:AD73,4)</f>
        <v>#250</v>
      </c>
      <c r="AN80" s="69" t="s">
        <v>403</v>
      </c>
      <c r="AO80" s="70">
        <f>AO57</f>
        <v>218</v>
      </c>
      <c r="AP80" s="71">
        <f>AP57</f>
        <v>218</v>
      </c>
      <c r="AQ80" s="71">
        <f>AQ57</f>
        <v>0</v>
      </c>
      <c r="AR80" s="60">
        <f>AR57</f>
        <v>0</v>
      </c>
      <c r="AS80" s="60"/>
      <c r="AT80" s="60"/>
      <c r="AU80" s="60"/>
      <c r="AV80" s="60"/>
      <c r="AW80" s="60"/>
      <c r="AX80" s="60"/>
      <c r="AY80" s="60"/>
      <c r="AZ80" s="60"/>
    </row>
    <row r="81" spans="4:54" ht="14.1" customHeight="1">
      <c r="F81" s="108">
        <f>IF(G60="N",0,VLOOKUP(G61,F67:P76,3))</f>
        <v>300</v>
      </c>
      <c r="G81" s="133" t="str">
        <f>IF(G60="N","NONE",VLOOKUP(G61,F67:P76,4))</f>
        <v>#2</v>
      </c>
      <c r="H81" s="133">
        <f>IF(G60="N",0,VLOOKUP(G61,F67:P76,5))</f>
        <v>8</v>
      </c>
      <c r="I81" s="98">
        <f>IF(G60="N",0,I54)</f>
        <v>1</v>
      </c>
      <c r="J81" s="60"/>
      <c r="K81" s="60"/>
      <c r="L81" s="60"/>
      <c r="M81" s="60"/>
      <c r="N81" s="60"/>
      <c r="O81" s="60"/>
      <c r="P81" s="60"/>
      <c r="R81" s="60"/>
      <c r="Z81" s="149" t="s">
        <v>355</v>
      </c>
      <c r="AA81" s="75">
        <f>VLOOKUP(AA48,AA58:AB73,1)</f>
        <v>8</v>
      </c>
      <c r="AB81" s="75"/>
      <c r="AC81" s="75"/>
      <c r="AD81" s="75"/>
      <c r="AE81" s="75"/>
      <c r="AF81" s="75"/>
      <c r="AG81" s="75"/>
      <c r="AH81" s="75"/>
      <c r="AI81" s="75"/>
      <c r="AJ81" s="107"/>
      <c r="AK81" s="60"/>
      <c r="AL81" s="60"/>
      <c r="AN81" s="69"/>
      <c r="AO81" s="153"/>
      <c r="AP81" s="154"/>
      <c r="AQ81" s="152"/>
      <c r="AR81" s="60"/>
      <c r="AS81" s="60"/>
      <c r="AT81" s="60"/>
      <c r="AU81" s="60"/>
      <c r="AV81" s="60"/>
      <c r="AW81" s="60"/>
      <c r="AX81" s="60"/>
      <c r="AY81" s="60"/>
      <c r="AZ81" s="60"/>
    </row>
    <row r="82" spans="4:54" ht="14.1" customHeight="1"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R82" s="60"/>
      <c r="Z82" s="149" t="s">
        <v>404</v>
      </c>
      <c r="AA82" s="75">
        <f>VLOOKUP(AA48,AA58:AB73,2)</f>
        <v>0.1158</v>
      </c>
      <c r="AB82" s="75" t="s">
        <v>30</v>
      </c>
      <c r="AC82" s="75"/>
      <c r="AD82" s="75"/>
      <c r="AE82" s="75"/>
      <c r="AF82" s="186">
        <f>IF(Input!D40="YES",1,0)</f>
        <v>0</v>
      </c>
      <c r="AG82" s="75" t="s">
        <v>165</v>
      </c>
      <c r="AH82" s="75">
        <f>(AA82*AF82)</f>
        <v>0</v>
      </c>
      <c r="AI82" s="75">
        <f>AA82</f>
        <v>0.1158</v>
      </c>
      <c r="AJ82" s="107">
        <f>IF(MAX(AI$76:AI$82)=AI82,0,5)</f>
        <v>5</v>
      </c>
      <c r="AK82" s="60">
        <v>0</v>
      </c>
      <c r="AL82" s="60" t="str">
        <f>VLOOKUP(AA48,AA58:AD73,4)</f>
        <v>#2</v>
      </c>
      <c r="AN82" s="69"/>
      <c r="AO82" s="153"/>
      <c r="AP82" s="154"/>
      <c r="AQ82" s="152"/>
      <c r="AR82" s="60"/>
      <c r="AS82" s="60"/>
      <c r="AT82" s="60"/>
      <c r="AU82" s="60"/>
      <c r="AV82" s="60"/>
      <c r="AW82" s="60"/>
      <c r="AX82" s="60"/>
      <c r="AY82" s="60"/>
      <c r="AZ82" s="60"/>
    </row>
    <row r="83" spans="4:54" ht="14.1" customHeight="1">
      <c r="D83" s="59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R83" s="60"/>
      <c r="Z83" s="106"/>
      <c r="AA83" s="75"/>
      <c r="AB83" s="75"/>
      <c r="AC83" s="75"/>
      <c r="AD83" s="75"/>
      <c r="AE83" s="75"/>
      <c r="AF83" s="75"/>
      <c r="AG83" s="75"/>
      <c r="AH83" s="75"/>
      <c r="AI83" s="75"/>
      <c r="AJ83" s="107"/>
      <c r="AK83" s="60"/>
      <c r="AL83" s="60"/>
      <c r="AN83" s="69"/>
      <c r="AO83" s="153"/>
      <c r="AP83" s="154"/>
      <c r="AQ83" s="152"/>
      <c r="AR83" s="60"/>
      <c r="AS83" s="60"/>
      <c r="AT83" s="60"/>
      <c r="AU83" s="60"/>
      <c r="AV83" s="60"/>
      <c r="AW83" s="60"/>
      <c r="AX83" s="60"/>
      <c r="AY83" s="60"/>
      <c r="AZ83" s="60"/>
    </row>
    <row r="84" spans="4:54" ht="14.1" customHeight="1">
      <c r="E84" s="69"/>
      <c r="F84" s="69"/>
      <c r="G84" s="69"/>
      <c r="H84" s="69"/>
      <c r="I84" s="69"/>
      <c r="J84" s="69"/>
      <c r="Z84" s="97" t="s">
        <v>405</v>
      </c>
      <c r="AA84" s="133"/>
      <c r="AB84" s="133"/>
      <c r="AC84" s="133"/>
      <c r="AD84" s="133"/>
      <c r="AE84" s="133"/>
      <c r="AF84" s="133">
        <f>SUM(AF75:AF83)</f>
        <v>4</v>
      </c>
      <c r="AG84" s="133"/>
      <c r="AH84" s="133">
        <f>SUM(AH75:AH83)</f>
        <v>1.7794000000000001</v>
      </c>
      <c r="AI84" s="133"/>
      <c r="AJ84" s="98">
        <f>SUM(AJ75:AJ83)</f>
        <v>8</v>
      </c>
      <c r="AK84" s="60">
        <f>SUM(AK75:AK83)</f>
        <v>8</v>
      </c>
      <c r="AL84" s="60"/>
      <c r="AN84" s="69"/>
      <c r="AO84" s="153"/>
      <c r="AP84" s="154"/>
      <c r="AQ84" s="152"/>
      <c r="AR84" s="60"/>
      <c r="AS84" s="60"/>
      <c r="AT84" s="60"/>
      <c r="AU84" s="60"/>
      <c r="AV84" s="60"/>
      <c r="AW84" s="60" t="str">
        <f>CONCATENATE(AW89,AW90,AW91,AW92,AW93,AW94,AW95,AW96,AW97,AW98,AW99,AW100,AW101,AW102)</f>
        <v>( 2 X 50' L X 0.0707 R X 0.0 A ÷ 1,000 )  = 0.0 VD</v>
      </c>
      <c r="AX84" s="60"/>
      <c r="AY84" s="60"/>
      <c r="AZ84" s="60"/>
    </row>
    <row r="85" spans="4:54" ht="14.1" customHeight="1">
      <c r="E85" s="69"/>
      <c r="F85" s="69"/>
      <c r="G85" s="69"/>
      <c r="H85" s="69"/>
      <c r="I85" s="69"/>
      <c r="J85" s="69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N85" s="69"/>
      <c r="AO85" s="153"/>
      <c r="AP85" s="154"/>
      <c r="AQ85" s="152"/>
      <c r="AR85" s="60"/>
      <c r="AS85" s="60"/>
      <c r="AT85" s="60"/>
      <c r="AU85" s="60"/>
      <c r="AV85" s="60"/>
      <c r="AW85" s="60"/>
      <c r="AX85" s="60"/>
      <c r="AY85" s="60"/>
      <c r="AZ85" s="60"/>
    </row>
    <row r="86" spans="4:54" ht="14.1" customHeight="1">
      <c r="E86" s="69"/>
      <c r="F86" s="69"/>
      <c r="G86" s="69"/>
      <c r="H86" s="69"/>
      <c r="I86" s="69"/>
      <c r="J86" s="69"/>
      <c r="Z86" s="60"/>
      <c r="AA86" s="60"/>
      <c r="AB86" s="60"/>
      <c r="AC86" s="60"/>
      <c r="AD86" s="60"/>
      <c r="AE86" s="60" t="s">
        <v>53</v>
      </c>
      <c r="AF86" s="187" t="str">
        <f>Input!D37</f>
        <v>AL</v>
      </c>
      <c r="AG86" s="60" t="s">
        <v>406</v>
      </c>
      <c r="AH86" s="60" t="s">
        <v>407</v>
      </c>
      <c r="AI86" s="60"/>
      <c r="AJ86" s="60"/>
      <c r="AK86" s="60"/>
      <c r="AN86" s="69"/>
      <c r="AO86" s="153"/>
      <c r="AP86" s="154"/>
      <c r="AQ86" s="152"/>
      <c r="AR86" s="60"/>
      <c r="AS86" s="60"/>
      <c r="AT86" s="60"/>
      <c r="AU86" s="60"/>
      <c r="AV86" s="60"/>
      <c r="AW86" s="60"/>
      <c r="AX86" s="60"/>
      <c r="AY86" s="60"/>
      <c r="AZ86" s="60"/>
    </row>
    <row r="87" spans="4:54" ht="14.1" customHeight="1">
      <c r="E87" s="69"/>
      <c r="F87" s="69"/>
      <c r="G87" s="69"/>
      <c r="H87" s="69"/>
      <c r="I87" s="69"/>
      <c r="J87" s="69"/>
      <c r="Z87" s="60"/>
      <c r="AA87" s="60" t="s">
        <v>53</v>
      </c>
      <c r="AB87" s="60">
        <f>IF(AF76&gt;0,AF76," ")</f>
        <v>3</v>
      </c>
      <c r="AC87" s="60" t="s">
        <v>255</v>
      </c>
      <c r="AD87" s="60" t="str">
        <f>IF(AB87&gt;0,AL76," ")</f>
        <v>#300</v>
      </c>
      <c r="AE87" s="153" t="s">
        <v>53</v>
      </c>
      <c r="AF87" s="187" t="str">
        <f>Input!D41</f>
        <v>THHN</v>
      </c>
      <c r="AG87" s="69" t="str">
        <f>CONCATENATE(AA87,AB87,AC87,AD87,AE87,AF87,AE86,AF86)</f>
        <v xml:space="preserve"> 3-#300 THHN AL</v>
      </c>
      <c r="AH87" s="60"/>
      <c r="AI87" s="60"/>
      <c r="AJ87" s="60"/>
      <c r="AK87" s="60"/>
      <c r="AL87" s="60"/>
      <c r="AM87" s="60"/>
      <c r="AN87" s="69"/>
      <c r="AO87" s="153"/>
      <c r="AP87" s="154"/>
      <c r="AQ87" s="152" t="s">
        <v>408</v>
      </c>
      <c r="AR87" s="60" t="s">
        <v>408</v>
      </c>
      <c r="AS87" s="60"/>
      <c r="AT87" s="60"/>
      <c r="AU87" s="60"/>
      <c r="AV87" s="60"/>
      <c r="AW87" s="60"/>
      <c r="AX87" s="60"/>
      <c r="AY87" s="60" t="s">
        <v>409</v>
      </c>
      <c r="AZ87" s="60" t="s">
        <v>409</v>
      </c>
      <c r="BA87" s="60" t="s">
        <v>409</v>
      </c>
      <c r="BB87" s="60" t="s">
        <v>409</v>
      </c>
    </row>
    <row r="88" spans="4:54" ht="14.1" customHeight="1">
      <c r="E88" s="69"/>
      <c r="F88" s="69"/>
      <c r="G88" s="69"/>
      <c r="H88" s="69"/>
      <c r="I88" s="69"/>
      <c r="J88" s="69"/>
      <c r="Z88" s="60"/>
      <c r="AA88" s="60" t="s">
        <v>53</v>
      </c>
      <c r="AB88" s="60">
        <f>IF(AF78&gt;0,AF78,0)</f>
        <v>0</v>
      </c>
      <c r="AC88" s="60" t="s">
        <v>255</v>
      </c>
      <c r="AD88" s="60" t="str">
        <f>IF(AB88&gt;0,AL78," ")</f>
        <v xml:space="preserve"> </v>
      </c>
      <c r="AE88" s="153" t="s">
        <v>53</v>
      </c>
      <c r="AF88" s="187" t="str">
        <f>Input!D41</f>
        <v>THHN</v>
      </c>
      <c r="AG88" s="69" t="str">
        <f>IF(AB88=0,"",CONCATENATE(AA88,AB88,AC88,AD88,AE88,AF88,AE86,AF86,AG86))</f>
        <v/>
      </c>
      <c r="AH88" s="60"/>
      <c r="AI88" s="60"/>
      <c r="AJ88" s="60"/>
      <c r="AK88" s="60"/>
      <c r="AL88" s="60"/>
      <c r="AM88" s="60"/>
      <c r="AN88" s="69"/>
      <c r="AO88" s="60" t="s">
        <v>365</v>
      </c>
      <c r="AP88" s="154" t="s">
        <v>252</v>
      </c>
      <c r="AQ88" s="152" t="s">
        <v>366</v>
      </c>
      <c r="AR88" s="60" t="s">
        <v>410</v>
      </c>
      <c r="AS88" s="60"/>
      <c r="AT88" s="60" t="s">
        <v>365</v>
      </c>
      <c r="AU88" s="60" t="s">
        <v>252</v>
      </c>
      <c r="AV88" s="60" t="s">
        <v>366</v>
      </c>
      <c r="AW88" s="60" t="s">
        <v>410</v>
      </c>
      <c r="AX88" s="60"/>
      <c r="AY88" s="60" t="s">
        <v>365</v>
      </c>
      <c r="AZ88" s="60" t="s">
        <v>411</v>
      </c>
      <c r="BA88" s="60" t="s">
        <v>366</v>
      </c>
      <c r="BB88" s="60" t="s">
        <v>410</v>
      </c>
    </row>
    <row r="89" spans="4:54" ht="14.1" customHeight="1">
      <c r="E89" s="69"/>
      <c r="F89" s="69"/>
      <c r="G89" s="69"/>
      <c r="H89" s="69"/>
      <c r="I89" s="69"/>
      <c r="J89" s="69"/>
      <c r="Z89" s="60"/>
      <c r="AA89" s="60" t="s">
        <v>53</v>
      </c>
      <c r="AB89" s="60">
        <f>IF(AF80&gt;0,AF80,0)</f>
        <v>1</v>
      </c>
      <c r="AC89" s="60" t="s">
        <v>255</v>
      </c>
      <c r="AD89" s="60" t="str">
        <f>IF(AB89&gt;0,AL80," ")</f>
        <v>#250</v>
      </c>
      <c r="AE89" s="153" t="s">
        <v>53</v>
      </c>
      <c r="AF89" s="187" t="str">
        <f>Input!D41</f>
        <v>THHN</v>
      </c>
      <c r="AG89" s="69" t="str">
        <f>IF(AB89=0,"",CONCATENATE(AA89,AB89,AC89,AD89,AE89,AF89,AE86,AF86,AH86))</f>
        <v xml:space="preserve"> 1-#250 THHN AL (N)</v>
      </c>
      <c r="AH89" s="60"/>
      <c r="AI89" s="60"/>
      <c r="AJ89" s="60"/>
      <c r="AK89" s="60"/>
      <c r="AL89" s="60"/>
      <c r="AM89" s="60"/>
      <c r="AN89" s="87">
        <v>2</v>
      </c>
      <c r="AO89" s="60">
        <v>2</v>
      </c>
      <c r="AP89" s="60">
        <v>2</v>
      </c>
      <c r="AQ89" s="60">
        <v>2</v>
      </c>
      <c r="AR89" s="60">
        <v>2</v>
      </c>
      <c r="AS89" s="155" t="s">
        <v>180</v>
      </c>
      <c r="AT89" s="155" t="s">
        <v>180</v>
      </c>
      <c r="AU89" s="155" t="s">
        <v>180</v>
      </c>
      <c r="AV89" s="155" t="s">
        <v>180</v>
      </c>
      <c r="AW89" s="155" t="s">
        <v>180</v>
      </c>
      <c r="AX89" s="60" t="s">
        <v>180</v>
      </c>
      <c r="AY89" s="60" t="s">
        <v>180</v>
      </c>
      <c r="AZ89" s="60" t="s">
        <v>180</v>
      </c>
      <c r="BA89" s="60" t="s">
        <v>180</v>
      </c>
      <c r="BB89" s="60" t="s">
        <v>180</v>
      </c>
    </row>
    <row r="90" spans="4:54" ht="14.1" customHeight="1">
      <c r="F90" s="69"/>
      <c r="G90" s="69"/>
      <c r="H90" s="69"/>
      <c r="I90" s="69"/>
      <c r="J90" s="69"/>
      <c r="Z90" s="60"/>
      <c r="AA90" s="60" t="s">
        <v>53</v>
      </c>
      <c r="AB90" s="60">
        <f>IF(AF82&gt;0,AF82,0)</f>
        <v>0</v>
      </c>
      <c r="AC90" s="60" t="s">
        <v>255</v>
      </c>
      <c r="AD90" s="60" t="str">
        <f>IF(AB90&gt;0,AL82," ")</f>
        <v xml:space="preserve"> </v>
      </c>
      <c r="AE90" s="153" t="s">
        <v>53</v>
      </c>
      <c r="AF90" s="153" t="s">
        <v>412</v>
      </c>
      <c r="AG90" s="69" t="str">
        <f>IF(AB90=0,"",CONCATENATE(AA90,AB90,AC90,AD90,AE90,AF86,AF90))</f>
        <v/>
      </c>
      <c r="AH90" s="60"/>
      <c r="AI90" s="60"/>
      <c r="AJ90" s="60"/>
      <c r="AK90" s="60"/>
      <c r="AL90" s="60"/>
      <c r="AM90" s="60"/>
      <c r="AN90" s="87" t="s">
        <v>413</v>
      </c>
      <c r="AO90" s="194">
        <f>Input!D35</f>
        <v>50</v>
      </c>
      <c r="AP90" s="195">
        <f>Input!D35</f>
        <v>50</v>
      </c>
      <c r="AQ90" s="195">
        <f>Input!D35</f>
        <v>50</v>
      </c>
      <c r="AR90" s="195">
        <f>Input!D35</f>
        <v>50</v>
      </c>
      <c r="AS90" s="155">
        <v>2</v>
      </c>
      <c r="AT90" s="155">
        <v>2</v>
      </c>
      <c r="AU90" s="155">
        <v>2</v>
      </c>
      <c r="AV90" s="155">
        <v>2</v>
      </c>
      <c r="AW90" s="155">
        <v>2</v>
      </c>
      <c r="AX90" s="60" t="s">
        <v>55</v>
      </c>
      <c r="AY90" s="156" t="str">
        <f>TEXT(AO97, "#,##0.0")</f>
        <v>1.5</v>
      </c>
      <c r="AZ90" s="156" t="str">
        <f>TEXT(AP97, "#,##0.0")</f>
        <v>1.3</v>
      </c>
      <c r="BA90" s="156" t="str">
        <f>TEXT(AQ97, "#,##0.0")</f>
        <v>0.0</v>
      </c>
      <c r="BB90" s="156" t="str">
        <f>TEXT(AR97, "#,##0.0")</f>
        <v>0.0</v>
      </c>
    </row>
    <row r="91" spans="4:54" ht="14.1" customHeight="1">
      <c r="G91" s="87"/>
      <c r="J91" s="69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87" t="s">
        <v>414</v>
      </c>
      <c r="AO91" s="150">
        <f>ROUND(BB74,4)</f>
        <v>7.0699999999999999E-2</v>
      </c>
      <c r="AP91" s="150">
        <f>ROUND(BB74,4)</f>
        <v>7.0699999999999999E-2</v>
      </c>
      <c r="AQ91" s="150">
        <f>ROUND(BB57,4)</f>
        <v>7.0699999999999999E-2</v>
      </c>
      <c r="AR91" s="150">
        <f>ROUND(BB74,4)</f>
        <v>7.0699999999999999E-2</v>
      </c>
      <c r="AS91" s="155" t="s">
        <v>137</v>
      </c>
      <c r="AT91" s="155" t="s">
        <v>137</v>
      </c>
      <c r="AU91" s="155" t="s">
        <v>137</v>
      </c>
      <c r="AV91" s="155" t="s">
        <v>137</v>
      </c>
      <c r="AW91" s="155" t="s">
        <v>137</v>
      </c>
      <c r="AX91" s="60" t="s">
        <v>415</v>
      </c>
      <c r="AY91" s="60" t="s">
        <v>416</v>
      </c>
      <c r="AZ91" s="60" t="s">
        <v>416</v>
      </c>
      <c r="BA91" s="60" t="s">
        <v>416</v>
      </c>
      <c r="BB91" s="60" t="s">
        <v>416</v>
      </c>
    </row>
    <row r="92" spans="4:54" ht="14.1" customHeight="1">
      <c r="G92" s="87"/>
      <c r="J92" s="69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87" t="s">
        <v>417</v>
      </c>
      <c r="AO92" s="157">
        <f>ROUND(AO80,1)</f>
        <v>218</v>
      </c>
      <c r="AP92" s="157">
        <f>ROUND(AP80,1)</f>
        <v>218</v>
      </c>
      <c r="AQ92" s="157">
        <f>ROUND(AQ80,1)</f>
        <v>0</v>
      </c>
      <c r="AR92" s="157">
        <f>ROUND(AR80,1)</f>
        <v>0</v>
      </c>
      <c r="AS92" s="155" t="s">
        <v>418</v>
      </c>
      <c r="AT92" s="158" t="str">
        <f>TEXT(AO90, "#,##0")</f>
        <v>50</v>
      </c>
      <c r="AU92" s="158" t="str">
        <f>TEXT(AP90, "#,##0")</f>
        <v>50</v>
      </c>
      <c r="AV92" s="158" t="str">
        <f>TEXT(AQ90, "#,##0")</f>
        <v>50</v>
      </c>
      <c r="AW92" s="158" t="str">
        <f>AV92</f>
        <v>50</v>
      </c>
      <c r="AX92" s="60" t="s">
        <v>62</v>
      </c>
      <c r="AY92" s="153">
        <f>AO58</f>
        <v>208</v>
      </c>
      <c r="AZ92" s="153">
        <f>AO58</f>
        <v>208</v>
      </c>
      <c r="BA92" s="153">
        <f>AO58</f>
        <v>208</v>
      </c>
      <c r="BB92" s="153">
        <f>AO58</f>
        <v>208</v>
      </c>
    </row>
    <row r="93" spans="4:54" ht="14.1" customHeight="1">
      <c r="G93" s="87"/>
      <c r="J93" s="69"/>
      <c r="Z93" s="60"/>
      <c r="AA93" s="60"/>
      <c r="AB93" s="60"/>
      <c r="AC93" s="60"/>
      <c r="AD93" s="60"/>
      <c r="AE93" s="60"/>
      <c r="AF93" s="153"/>
      <c r="AG93" s="188" t="str">
        <f>IF(AB87&gt;0,AG87,"")</f>
        <v xml:space="preserve"> 3-#300 THHN AL</v>
      </c>
      <c r="AH93" s="60"/>
      <c r="AI93" s="60"/>
      <c r="AJ93" s="60"/>
      <c r="AK93" s="60"/>
      <c r="AL93" s="60"/>
      <c r="AM93" s="60"/>
      <c r="AN93" s="87" t="s">
        <v>165</v>
      </c>
      <c r="AO93" s="60"/>
      <c r="AP93" s="60"/>
      <c r="AQ93" s="60"/>
      <c r="AR93" s="60"/>
      <c r="AS93" s="155" t="s">
        <v>137</v>
      </c>
      <c r="AT93" s="159" t="s">
        <v>419</v>
      </c>
      <c r="AU93" s="159" t="s">
        <v>419</v>
      </c>
      <c r="AV93" s="159" t="s">
        <v>419</v>
      </c>
      <c r="AW93" s="159" t="s">
        <v>419</v>
      </c>
      <c r="AX93" s="60" t="s">
        <v>137</v>
      </c>
      <c r="AY93" s="60" t="s">
        <v>420</v>
      </c>
      <c r="AZ93" s="60" t="s">
        <v>420</v>
      </c>
      <c r="BA93" s="60" t="s">
        <v>420</v>
      </c>
      <c r="BB93" s="60" t="s">
        <v>420</v>
      </c>
    </row>
    <row r="94" spans="4:54" ht="14.1" customHeight="1">
      <c r="G94" s="87"/>
      <c r="J94" s="69"/>
      <c r="Z94" s="60"/>
      <c r="AA94" s="60"/>
      <c r="AB94" s="60"/>
      <c r="AC94" s="60"/>
      <c r="AD94" s="60"/>
      <c r="AE94" s="60"/>
      <c r="AF94" s="60"/>
      <c r="AG94" s="188" t="str">
        <f>IF(AB88&gt;0,AG88,IF(AB89&gt;0,AG89,IF(AND(SUM(AB88:AB89)=0,AB90&gt;0),AG90,"")))</f>
        <v xml:space="preserve"> 1-#250 THHN AL (N)</v>
      </c>
      <c r="AH94" s="60"/>
      <c r="AI94" s="60"/>
      <c r="AJ94" s="60"/>
      <c r="AK94" s="60"/>
      <c r="AL94" s="60"/>
      <c r="AM94" s="60"/>
      <c r="AN94" s="87" t="s">
        <v>421</v>
      </c>
      <c r="AO94" s="160">
        <v>1000</v>
      </c>
      <c r="AP94" s="160">
        <v>1000</v>
      </c>
      <c r="AQ94" s="160">
        <v>1000</v>
      </c>
      <c r="AR94" s="160">
        <v>1000</v>
      </c>
      <c r="AS94" s="155" t="s">
        <v>422</v>
      </c>
      <c r="AT94" s="161" t="str">
        <f>TEXT(AO91, "0.0000")</f>
        <v>0.0707</v>
      </c>
      <c r="AU94" s="161" t="str">
        <f>TEXT(AP91, "0.0000")</f>
        <v>0.0707</v>
      </c>
      <c r="AV94" s="161" t="str">
        <f>TEXT(AQ91, "0.0000")</f>
        <v>0.0707</v>
      </c>
      <c r="AW94" s="161" t="str">
        <f>TEXT(AR91, "0.0000")</f>
        <v>0.0707</v>
      </c>
      <c r="AX94" s="60">
        <v>100</v>
      </c>
      <c r="AY94" s="60">
        <v>100</v>
      </c>
      <c r="AZ94" s="60">
        <v>100</v>
      </c>
      <c r="BA94" s="60">
        <v>100</v>
      </c>
      <c r="BB94" s="60">
        <v>100</v>
      </c>
    </row>
    <row r="95" spans="4:54" ht="14.1" customHeight="1">
      <c r="J95" s="69"/>
      <c r="Z95" s="60"/>
      <c r="AA95" s="60"/>
      <c r="AB95" s="60"/>
      <c r="AC95" s="60"/>
      <c r="AD95" s="60"/>
      <c r="AE95" s="60"/>
      <c r="AF95" s="60"/>
      <c r="AG95" s="189" t="str">
        <f>IF(AND(AB88&gt;0,AB89&gt;0),AG89,IF(AND(SUM(AB88:AB89)=1,AB90&gt;0),AG90,""))</f>
        <v/>
      </c>
      <c r="AH95" s="60"/>
      <c r="AI95" s="60"/>
      <c r="AJ95" s="60"/>
      <c r="AK95" s="60"/>
      <c r="AL95" s="60"/>
      <c r="AM95" s="60"/>
      <c r="AN95" s="87" t="s">
        <v>165</v>
      </c>
      <c r="AO95" s="60"/>
      <c r="AP95" s="60"/>
      <c r="AQ95" s="60"/>
      <c r="AR95" s="60"/>
      <c r="AS95" s="155" t="s">
        <v>137</v>
      </c>
      <c r="AT95" s="155" t="s">
        <v>423</v>
      </c>
      <c r="AU95" s="155" t="s">
        <v>423</v>
      </c>
      <c r="AV95" s="155" t="s">
        <v>423</v>
      </c>
      <c r="AW95" s="155" t="s">
        <v>423</v>
      </c>
      <c r="AX95" s="60" t="s">
        <v>424</v>
      </c>
      <c r="AY95" s="60" t="str">
        <f>AX95</f>
        <v xml:space="preserve"> ) = </v>
      </c>
      <c r="AZ95" s="60" t="str">
        <f>AY95</f>
        <v xml:space="preserve"> ) = </v>
      </c>
      <c r="BA95" s="60" t="str">
        <f>AZ95</f>
        <v xml:space="preserve"> ) = </v>
      </c>
      <c r="BB95" s="60" t="str">
        <f>BA95</f>
        <v xml:space="preserve"> ) = </v>
      </c>
    </row>
    <row r="96" spans="4:54" ht="14.1" customHeight="1">
      <c r="J96" s="69"/>
      <c r="Z96" s="60"/>
      <c r="AA96" s="60"/>
      <c r="AB96" s="60"/>
      <c r="AC96" s="60"/>
      <c r="AD96" s="60"/>
      <c r="AE96" s="60"/>
      <c r="AF96" s="60"/>
      <c r="AG96" s="189" t="str">
        <f>IF(AND(SUM(AB88:AB89)=2,AB90&gt;0),AG90,"")</f>
        <v/>
      </c>
      <c r="AH96" s="60"/>
      <c r="AI96" s="60"/>
      <c r="AJ96" s="60"/>
      <c r="AK96" s="60"/>
      <c r="AL96" s="60"/>
      <c r="AM96" s="60"/>
      <c r="AN96" s="87" t="s">
        <v>425</v>
      </c>
      <c r="AO96" s="160">
        <v>1</v>
      </c>
      <c r="AP96" s="160">
        <v>0.86599999999999999</v>
      </c>
      <c r="AQ96" s="160">
        <v>0.86599999999999999</v>
      </c>
      <c r="AR96" s="160">
        <v>1</v>
      </c>
      <c r="AS96" s="155" t="s">
        <v>426</v>
      </c>
      <c r="AT96" s="158" t="str">
        <f>TEXT(AO92, "#,##0.0")</f>
        <v>218.0</v>
      </c>
      <c r="AU96" s="158" t="str">
        <f>TEXT(AP92, "#,##0.0")</f>
        <v>218.0</v>
      </c>
      <c r="AV96" s="158" t="str">
        <f>TEXT(AQ92, "#,##0.0")</f>
        <v>0.0</v>
      </c>
      <c r="AW96" s="158" t="str">
        <f>TEXT(AR92, "#,##0.0")</f>
        <v>0.0</v>
      </c>
      <c r="AX96" s="60" t="s">
        <v>55</v>
      </c>
      <c r="AY96" s="162" t="str">
        <f>TEXT(AO99*100, "0.0")</f>
        <v>0.7</v>
      </c>
      <c r="AZ96" s="162" t="str">
        <f>TEXT(AP99*100, "0.0")</f>
        <v>0.6</v>
      </c>
      <c r="BA96" s="162" t="str">
        <f>TEXT(AQ99*100, "0.0")</f>
        <v>0.0</v>
      </c>
      <c r="BB96" s="162" t="str">
        <f>TEXT(AR99*100, "0.0")</f>
        <v>0.0</v>
      </c>
    </row>
    <row r="97" spans="3:54" ht="14.1" customHeight="1">
      <c r="J97" s="69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163" t="s">
        <v>427</v>
      </c>
      <c r="AO97" s="164">
        <f>ROUND((AO89*AO90*AO91*AO92)/AO94,1)</f>
        <v>1.5</v>
      </c>
      <c r="AP97" s="164">
        <f>ROUND((AP89*AP90*AP91*AP92)/AP94*AP96,1)</f>
        <v>1.3</v>
      </c>
      <c r="AQ97" s="164">
        <f>ROUND((AQ89*AQ90*AQ91*AQ92)/AQ94*AQ96,1)</f>
        <v>0</v>
      </c>
      <c r="AR97" s="164">
        <f>ROUND((AR89*AR90*AR91*AR92)/AR94,1)</f>
        <v>0</v>
      </c>
      <c r="AS97" s="155" t="s">
        <v>353</v>
      </c>
      <c r="AT97" s="155" t="s">
        <v>428</v>
      </c>
      <c r="AU97" s="155" t="s">
        <v>428</v>
      </c>
      <c r="AV97" s="155" t="s">
        <v>428</v>
      </c>
      <c r="AW97" s="155" t="s">
        <v>428</v>
      </c>
      <c r="AX97" s="60" t="s">
        <v>429</v>
      </c>
      <c r="AY97" s="60" t="s">
        <v>430</v>
      </c>
      <c r="AZ97" s="60" t="s">
        <v>430</v>
      </c>
      <c r="BA97" s="60" t="s">
        <v>430</v>
      </c>
      <c r="BB97" s="60" t="s">
        <v>430</v>
      </c>
    </row>
    <row r="98" spans="3:54" ht="14.1" customHeight="1">
      <c r="J98" s="69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165" t="s">
        <v>431</v>
      </c>
      <c r="AO98" s="166">
        <f>AO58</f>
        <v>208</v>
      </c>
      <c r="AP98" s="107">
        <f>AO98</f>
        <v>208</v>
      </c>
      <c r="AQ98" s="107">
        <f>AP98</f>
        <v>208</v>
      </c>
      <c r="AR98" s="107">
        <f>AQ98</f>
        <v>208</v>
      </c>
      <c r="AS98" s="155" t="str">
        <f>TEXT(1000, "#,##0")</f>
        <v>1,000</v>
      </c>
      <c r="AT98" s="155" t="str">
        <f>TEXT(1000, "#,##0")</f>
        <v>1,000</v>
      </c>
      <c r="AU98" s="155" t="str">
        <f>TEXT(1000, "#,##0")</f>
        <v>1,000</v>
      </c>
      <c r="AV98" s="155" t="str">
        <f>TEXT(1000, "#,##0")</f>
        <v>1,000</v>
      </c>
      <c r="AW98" s="155" t="str">
        <f>TEXT(1000, "#,##0")</f>
        <v>1,000</v>
      </c>
      <c r="AX98" s="69" t="str">
        <f>CONCATENATE(AX89,AX90,AX91,AX92,AX93,AX94,AX95,AX96,AX97)</f>
        <v xml:space="preserve">( VD ÷ VOLTS X 100 ) = VD % </v>
      </c>
      <c r="AY98" s="69" t="str">
        <f>CONCATENATE(AY89,AY90,AY91,AY92,AY93,AY94,AY95,AY96,AY97)</f>
        <v>( 1.5 VD ÷ 208 V X 100 ) = 0.7 % VD</v>
      </c>
      <c r="AZ98" s="69" t="str">
        <f>CONCATENATE(AZ89,AZ90,AZ91,AZ92,AZ93,AZ94,AZ95,AZ96,AZ97)</f>
        <v>( 1.3 VD ÷ 208 V X 100 ) = 0.6 % VD</v>
      </c>
      <c r="BA98" s="69" t="str">
        <f>CONCATENATE(BA89,BA90,BA91,BA92,BA93,BA94,BA95,BA96,BA97)</f>
        <v>( 0.0 VD ÷ 208 V X 100 ) = 0.0 % VD</v>
      </c>
      <c r="BB98" s="69" t="str">
        <f>CONCATENATE(BB89,BB90,BB91,BB92,BB93,BB94,BB95,BB96,BB97)</f>
        <v>( 0.0 VD ÷ 208 V X 100 ) = 0.0 % VD</v>
      </c>
    </row>
    <row r="99" spans="3:54" ht="14.1" customHeight="1">
      <c r="D99" s="58" t="str">
        <f>CONCATENATE(D91,E92,E91,E93,,E91,G91,E94,E91,F91)</f>
        <v/>
      </c>
      <c r="J99" s="69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167" t="s">
        <v>432</v>
      </c>
      <c r="AO99" s="168">
        <f>ROUND(AO97/AO98,4)</f>
        <v>7.1999999999999998E-3</v>
      </c>
      <c r="AP99" s="168">
        <f>ROUND(AP97/AP98,4)</f>
        <v>6.3E-3</v>
      </c>
      <c r="AQ99" s="168">
        <f>ROUND(AQ97/AQ98,4)</f>
        <v>0</v>
      </c>
      <c r="AR99" s="168">
        <f>ROUND(AR97/AR98,4)</f>
        <v>0</v>
      </c>
      <c r="AS99" s="196" t="str">
        <f>IF(Input!D11=1," )"," X ")</f>
        <v xml:space="preserve"> X </v>
      </c>
      <c r="AT99" s="155" t="s">
        <v>433</v>
      </c>
      <c r="AU99" s="155" t="s">
        <v>137</v>
      </c>
      <c r="AV99" s="155" t="s">
        <v>137</v>
      </c>
      <c r="AW99" s="155" t="s">
        <v>433</v>
      </c>
      <c r="AX99" s="60"/>
      <c r="AY99" s="69" t="str">
        <f>CONCATENATE(AY96,AY97)</f>
        <v>0.7 % VD</v>
      </c>
      <c r="AZ99" s="69" t="str">
        <f>CONCATENATE(AZ96,AZ97)</f>
        <v>0.6 % VD</v>
      </c>
      <c r="BA99" s="69" t="str">
        <f>CONCATENATE(BA96,BA97)</f>
        <v>0.0 % VD</v>
      </c>
      <c r="BB99" s="69" t="str">
        <f>CONCATENATE(BB96,BB97)</f>
        <v>0.0 % VD</v>
      </c>
    </row>
    <row r="100" spans="3:54" ht="14.1" customHeight="1">
      <c r="D100" s="58" t="str">
        <f>CONCATENATE(D91,E92,E91,E93,,E91,H91,E94,E91,F91,G91,E95,J91)</f>
        <v/>
      </c>
      <c r="J100" s="69"/>
      <c r="Z100" s="60"/>
      <c r="AA100" s="60" t="s">
        <v>53</v>
      </c>
      <c r="AB100" s="60">
        <f>I54</f>
        <v>1</v>
      </c>
      <c r="AC100" s="60" t="s">
        <v>255</v>
      </c>
      <c r="AD100" s="60" t="str">
        <f>D33</f>
        <v>2 1/2''</v>
      </c>
      <c r="AE100" s="60" t="s">
        <v>53</v>
      </c>
      <c r="AF100" s="109" t="str">
        <f>Input!D42</f>
        <v>EMT</v>
      </c>
      <c r="AG100" s="189" t="str">
        <f>IF(Input!D34&lt;&gt;"CONDUIT",'S-Sec Cable'!I28,CONCATENATE(AA100,AB100,AC100,AD100,AE100,AF100))</f>
        <v xml:space="preserve"> 1-2 1/2'' EMT</v>
      </c>
      <c r="AH100" s="60"/>
      <c r="AI100" s="60"/>
      <c r="AJ100" s="60"/>
      <c r="AK100" s="60"/>
      <c r="AL100" s="60"/>
      <c r="AM100" s="60"/>
      <c r="AS100" s="155">
        <v>0.86599999999999999</v>
      </c>
      <c r="AT100" s="155" t="s">
        <v>165</v>
      </c>
      <c r="AU100" s="169">
        <v>0.86599999999999999</v>
      </c>
      <c r="AV100" s="169">
        <v>0.86599999999999999</v>
      </c>
      <c r="AW100" s="155" t="s">
        <v>165</v>
      </c>
    </row>
    <row r="101" spans="3:54" ht="14.1" customHeight="1">
      <c r="J101" s="69"/>
      <c r="Z101" s="60"/>
      <c r="AA101" s="60"/>
      <c r="AB101" s="60"/>
      <c r="AC101" s="60"/>
      <c r="AD101" s="60"/>
      <c r="AE101" s="60"/>
      <c r="AF101" s="60"/>
      <c r="AG101" s="188" t="str">
        <f>IF(Input!D34&lt;&gt;"CONDUIT",'S-Sec Cable'!I29,IF(AB87&gt;0,AG87,""))</f>
        <v xml:space="preserve"> 3-#300 THHN AL</v>
      </c>
      <c r="AH101" s="60"/>
      <c r="AI101" s="60"/>
      <c r="AJ101" s="60"/>
      <c r="AK101" s="60"/>
      <c r="AL101" s="60"/>
      <c r="AM101" s="60"/>
      <c r="AS101" s="155" t="s">
        <v>433</v>
      </c>
      <c r="AT101" s="170" t="str">
        <f>TEXT(AO97, "#,##0.0")</f>
        <v>1.5</v>
      </c>
      <c r="AU101" s="155" t="s">
        <v>433</v>
      </c>
      <c r="AV101" s="155" t="s">
        <v>433</v>
      </c>
      <c r="AW101" s="171" t="str">
        <f>TEXT(AR97, "#,##0.0")</f>
        <v>0.0</v>
      </c>
      <c r="AZ101" s="197" t="str">
        <f>Input!D11</f>
        <v>3Y</v>
      </c>
    </row>
    <row r="102" spans="3:54" ht="14.1" customHeight="1">
      <c r="C102" s="69" t="s">
        <v>434</v>
      </c>
      <c r="D102" s="58" t="str">
        <f>CONCATENATE(E92,E91,)</f>
        <v/>
      </c>
      <c r="F102" s="60"/>
      <c r="G102" s="60"/>
      <c r="H102" s="60"/>
      <c r="I102" s="60"/>
      <c r="Z102" s="60"/>
      <c r="AA102" s="60"/>
      <c r="AB102" s="60"/>
      <c r="AC102" s="60"/>
      <c r="AD102" s="60"/>
      <c r="AE102" s="60"/>
      <c r="AF102" s="60"/>
      <c r="AG102" s="189" t="str">
        <f>IF(Input!D34&lt;&gt;"CONDUIT",'S-Sec Cable'!I30,IF(AB88&gt;0,AG88,IF(AB89&gt;0,AG89,IF(AND(SUM(AB88:AB89)=0,AB90&gt;0),AG90,""))))</f>
        <v xml:space="preserve"> 1-#250 THHN AL (N)</v>
      </c>
      <c r="AH102" s="60"/>
      <c r="AI102" s="60"/>
      <c r="AJ102" s="60"/>
      <c r="AK102" s="60"/>
      <c r="AL102" s="60"/>
      <c r="AM102" s="60"/>
      <c r="AO102" s="172"/>
      <c r="AP102" s="172"/>
      <c r="AQ102" s="172"/>
      <c r="AR102" s="172"/>
      <c r="AS102" s="155" t="s">
        <v>165</v>
      </c>
      <c r="AT102" s="170" t="s">
        <v>435</v>
      </c>
      <c r="AU102" s="155" t="s">
        <v>165</v>
      </c>
      <c r="AV102" s="155" t="s">
        <v>165</v>
      </c>
      <c r="AW102" s="155" t="s">
        <v>435</v>
      </c>
      <c r="AZ102" s="58" t="str">
        <f>IF(AZ101=1,AY99,AZ99)</f>
        <v>0.6 % VD</v>
      </c>
    </row>
    <row r="103" spans="3:54" ht="14.1" customHeight="1">
      <c r="C103" s="69" t="str">
        <f>IF(AND(D83=1,F84=2),"WIRE SIZE L1 &amp; L2",IF(AND(D83="3D",F84=2),"WIRE SIZE L1 &amp; L3",IF(F84&gt;2,"WIRE SIZE L1-L3"," ")))</f>
        <v xml:space="preserve"> </v>
      </c>
      <c r="D103" s="58" t="str">
        <f>CONCATENATE(E93,,E91)</f>
        <v/>
      </c>
      <c r="E103" s="69"/>
      <c r="F103" s="69"/>
      <c r="G103" s="69"/>
      <c r="H103" s="69"/>
      <c r="I103" s="69"/>
      <c r="J103" s="69"/>
      <c r="Z103" s="60"/>
      <c r="AA103" s="60"/>
      <c r="AB103" s="60"/>
      <c r="AC103" s="60"/>
      <c r="AD103" s="60"/>
      <c r="AE103" s="60"/>
      <c r="AF103" s="60"/>
      <c r="AG103" s="189" t="str">
        <f>IF(Input!D34&lt;&gt;"CONDUIT",'S-Sec Cable'!I31,IF(AND(AB88&gt;0,AB89&gt;0),AG89,IF(AND(SUM(AB88:AB89)=1,AB90&gt;0),AG90,"")))</f>
        <v/>
      </c>
      <c r="AH103" s="60"/>
      <c r="AI103" s="60"/>
      <c r="AJ103" s="60"/>
      <c r="AK103" s="60"/>
      <c r="AL103" s="60"/>
      <c r="AM103" s="60"/>
      <c r="AN103" s="173"/>
      <c r="AO103" s="172"/>
      <c r="AS103" s="170" t="s">
        <v>435</v>
      </c>
      <c r="AT103" s="170"/>
      <c r="AU103" s="170" t="str">
        <f>TEXT(AP97, "#,##0.0")</f>
        <v>1.3</v>
      </c>
      <c r="AV103" s="170" t="str">
        <f>TEXT(AQ97, "#,##0.0")</f>
        <v>0.0</v>
      </c>
      <c r="AW103" s="170"/>
    </row>
    <row r="104" spans="3:54" ht="14.1" customHeight="1">
      <c r="C104" s="69">
        <f>IF(AND(D83="3D",F84=2),"WIRE SIZE L2",IF(H84=1,"NEUTRAL SIZE",IF(I84=1,"GROUND SIZE",0)))</f>
        <v>0</v>
      </c>
      <c r="E104" s="69"/>
      <c r="F104" s="69"/>
      <c r="G104" s="69"/>
      <c r="H104" s="69"/>
      <c r="I104" s="69"/>
      <c r="J104" s="69"/>
      <c r="Z104" s="60"/>
      <c r="AA104" s="60"/>
      <c r="AB104" s="60"/>
      <c r="AC104" s="60"/>
      <c r="AD104" s="60"/>
      <c r="AE104" s="60"/>
      <c r="AF104" s="60"/>
      <c r="AG104" s="189" t="str">
        <f>IF(Input!D34&lt;&gt;"CONDUIT",'S-Sec Cable'!I32,IF(AND(SUM(AB88:AB89)=2,AB90&gt;0),AG90,""))</f>
        <v/>
      </c>
      <c r="AH104" s="60"/>
      <c r="AI104" s="60"/>
      <c r="AJ104" s="60"/>
      <c r="AK104" s="60"/>
      <c r="AL104" s="60"/>
      <c r="AM104" s="60"/>
      <c r="AS104" s="155"/>
      <c r="AT104" s="170"/>
      <c r="AU104" s="170" t="s">
        <v>435</v>
      </c>
      <c r="AV104" s="170" t="s">
        <v>435</v>
      </c>
    </row>
    <row r="105" spans="3:54" ht="14.1" customHeight="1">
      <c r="C105" s="69"/>
      <c r="E105" s="69"/>
      <c r="F105" s="69"/>
      <c r="G105" s="69"/>
      <c r="H105" s="69"/>
      <c r="I105" s="69"/>
      <c r="J105" s="69"/>
      <c r="Z105" s="60"/>
      <c r="AA105" s="60"/>
      <c r="AB105" s="60"/>
      <c r="AC105" s="60"/>
      <c r="AD105" s="60"/>
      <c r="AE105" s="60"/>
      <c r="AF105" s="60"/>
      <c r="AG105" s="69"/>
      <c r="AH105" s="60"/>
      <c r="AI105" s="60"/>
      <c r="AJ105" s="60"/>
      <c r="AK105" s="60"/>
      <c r="AL105" s="60"/>
      <c r="AM105" s="60"/>
      <c r="AN105" s="172"/>
      <c r="AO105" s="173"/>
      <c r="AS105" s="155"/>
      <c r="AT105" s="170"/>
      <c r="AU105" s="170"/>
      <c r="AV105" s="170"/>
    </row>
    <row r="106" spans="3:54" ht="14.1" customHeight="1">
      <c r="C106" s="69"/>
      <c r="E106" s="69"/>
      <c r="F106" s="69"/>
      <c r="G106" s="69"/>
      <c r="H106" s="69"/>
      <c r="I106" s="69"/>
      <c r="J106" s="69"/>
      <c r="Z106" s="60"/>
      <c r="AA106" s="60"/>
      <c r="AB106" s="60"/>
      <c r="AC106" s="60"/>
      <c r="AD106" s="60"/>
      <c r="AE106" s="60"/>
      <c r="AF106" s="60"/>
      <c r="AG106" s="69"/>
      <c r="AH106" s="60"/>
      <c r="AI106" s="60"/>
      <c r="AJ106" s="60"/>
      <c r="AK106" s="60"/>
      <c r="AL106" s="60"/>
      <c r="AM106" s="60"/>
      <c r="AN106" s="173"/>
      <c r="AS106" s="155"/>
      <c r="AT106" s="170" t="str">
        <f>CONCATENATE(AT101,AT102)</f>
        <v>1.5 VD</v>
      </c>
      <c r="AU106" s="170" t="str">
        <f>CONCATENATE(AU103,AU104)</f>
        <v>1.3 VD</v>
      </c>
      <c r="AV106" s="170" t="str">
        <f>CONCATENATE(AV103,AV104)</f>
        <v>0.0 VD</v>
      </c>
      <c r="AW106" s="58" t="str">
        <f>CONCATENATE(AW101,AW102)</f>
        <v>0.0 VD</v>
      </c>
    </row>
    <row r="107" spans="3:54" ht="14.1" customHeight="1">
      <c r="C107" s="69"/>
      <c r="E107" s="69"/>
      <c r="F107" s="69"/>
      <c r="G107" s="69"/>
      <c r="H107" s="69"/>
      <c r="I107" s="69"/>
      <c r="J107" s="69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S107" s="155"/>
      <c r="AT107" s="170" t="str">
        <f>CONCATENATE(AT89,AT90,AT91,AT92,AT93,AT94,AT95,AT96,AT97,AT98,AT99,AT100,AT101,AT102)</f>
        <v>( 2 X 50' L X 0.0707 R X 218.0 A ÷ 1,000 )  = 1.5 VD</v>
      </c>
      <c r="AU107" s="170" t="str">
        <f>CONCATENATE(AU89,AU90,AU91,AU92,AU93,AU94,AU95,AU96,AU97,AU98,AU99,AU100,AU101,AU102,AU103,AU104)</f>
        <v>( 2 X 50' L X 0.0707 R X 218.0 A ÷ 1,000 X 0.866 )  = 1.3 VD</v>
      </c>
      <c r="AV107" s="170" t="str">
        <f>CONCATENATE(AV89,AV90,AV91,AV92,AV93,AV94,AV95,AV96,AV97,AV98,AV99,AV100,AV101,AV102,AV103,AV104)</f>
        <v>( 2 X 50' L X 0.0707 R X 0.0 A ÷ 1,000 X 0.866 )  = 0.0 VD</v>
      </c>
      <c r="AW107" s="58" t="str">
        <f>CONCATENATE(AW89,AW90,AW91,AW92,AW93,AW94,AW95,AW96,AW97,AW98,AW99,AW100,AW101,AW102)</f>
        <v>( 2 X 50' L X 0.0707 R X 0.0 A ÷ 1,000 )  = 0.0 VD</v>
      </c>
    </row>
    <row r="108" spans="3:54" ht="14.1" customHeight="1">
      <c r="C108" s="69"/>
      <c r="E108" s="69"/>
      <c r="F108" s="69"/>
      <c r="G108" s="69"/>
      <c r="H108" s="69"/>
      <c r="I108" s="69"/>
      <c r="J108" s="69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S108" s="155"/>
      <c r="AT108" s="170"/>
      <c r="AU108" s="170"/>
      <c r="AV108" s="170"/>
    </row>
    <row r="109" spans="3:54" ht="14.1" customHeight="1">
      <c r="C109" s="69"/>
      <c r="F109" s="69"/>
      <c r="G109" s="69"/>
      <c r="H109" s="69"/>
      <c r="I109" s="69"/>
      <c r="J109" s="69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 t="s">
        <v>314</v>
      </c>
      <c r="AK109" s="60" t="s">
        <v>314</v>
      </c>
      <c r="AS109" s="155"/>
      <c r="AT109" s="170"/>
      <c r="AU109" s="170"/>
      <c r="AV109" s="170"/>
    </row>
    <row r="110" spans="3:54" ht="14.1" customHeight="1">
      <c r="C110" s="69"/>
      <c r="G110" s="87"/>
      <c r="J110" s="69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 t="s">
        <v>108</v>
      </c>
      <c r="AK110" s="60" t="s">
        <v>314</v>
      </c>
      <c r="AO110" s="172"/>
      <c r="AS110" s="155"/>
      <c r="AT110" s="170"/>
      <c r="AU110" s="170"/>
      <c r="AV110" s="170"/>
    </row>
    <row r="111" spans="3:54" ht="14.1" customHeight="1">
      <c r="G111" s="87"/>
      <c r="J111" s="69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 t="s">
        <v>321</v>
      </c>
      <c r="AK111" s="60" t="s">
        <v>108</v>
      </c>
      <c r="AS111" s="155"/>
      <c r="AT111" s="170"/>
      <c r="AU111" s="170"/>
      <c r="AV111" s="170"/>
    </row>
    <row r="112" spans="3:54" ht="14.1" customHeight="1">
      <c r="G112" s="87"/>
      <c r="J112" s="69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 t="s">
        <v>320</v>
      </c>
      <c r="AS112" s="155"/>
      <c r="AT112" s="170"/>
      <c r="AU112" s="170"/>
      <c r="AV112" s="170"/>
    </row>
    <row r="113" spans="7:49" ht="14.1" customHeight="1">
      <c r="G113" s="87"/>
      <c r="J113" s="69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>
        <v>3</v>
      </c>
      <c r="AK113" s="60" t="s">
        <v>379</v>
      </c>
      <c r="AS113" s="155"/>
      <c r="AT113" s="170"/>
      <c r="AU113" s="170"/>
      <c r="AV113" s="170"/>
    </row>
    <row r="114" spans="7:49" ht="14.1" customHeight="1">
      <c r="J114" s="69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>
        <v>4</v>
      </c>
      <c r="AK114" s="60" t="s">
        <v>382</v>
      </c>
      <c r="AS114" s="155"/>
      <c r="AT114" s="170"/>
      <c r="AU114" s="170"/>
      <c r="AV114" s="170"/>
    </row>
    <row r="115" spans="7:49" ht="14.1" customHeight="1">
      <c r="J115" s="69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>
        <v>5</v>
      </c>
      <c r="AK115" s="60" t="s">
        <v>322</v>
      </c>
      <c r="AR115" s="58" t="s">
        <v>157</v>
      </c>
      <c r="AS115" s="155"/>
      <c r="AT115" s="170"/>
      <c r="AU115" s="170"/>
      <c r="AV115" s="170"/>
    </row>
    <row r="116" spans="7:49" ht="14.1" customHeight="1">
      <c r="J116" s="69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>
        <v>6</v>
      </c>
      <c r="AK116" s="60" t="s">
        <v>325</v>
      </c>
      <c r="AR116" s="58" t="s">
        <v>436</v>
      </c>
      <c r="AS116" s="174" t="str">
        <f>AT107</f>
        <v>( 2 X 50' L X 0.0707 R X 218.0 A ÷ 1,000 )  = 1.5 VD</v>
      </c>
      <c r="AU116" s="155"/>
      <c r="AV116" s="58" t="s">
        <v>437</v>
      </c>
      <c r="AW116" s="58" t="str">
        <f>AY98</f>
        <v>( 1.5 VD ÷ 208 V X 100 ) = 0.7 % VD</v>
      </c>
    </row>
    <row r="117" spans="7:49" ht="14.1" customHeight="1">
      <c r="J117" s="69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>
        <v>7</v>
      </c>
      <c r="AK117" s="60" t="s">
        <v>327</v>
      </c>
      <c r="AR117" s="58" t="s">
        <v>438</v>
      </c>
      <c r="AS117" s="174" t="str">
        <f>AU107</f>
        <v>( 2 X 50' L X 0.0707 R X 218.0 A ÷ 1,000 X 0.866 )  = 1.3 VD</v>
      </c>
      <c r="AV117" s="58" t="s">
        <v>437</v>
      </c>
      <c r="AW117" s="58" t="str">
        <f>AZ98</f>
        <v>( 1.3 VD ÷ 208 V X 100 ) = 0.6 % VD</v>
      </c>
    </row>
    <row r="118" spans="7:49" ht="14.1" customHeight="1">
      <c r="J118" s="69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>
        <v>8</v>
      </c>
      <c r="AK118" s="60" t="s">
        <v>326</v>
      </c>
      <c r="AR118" s="58" t="s">
        <v>439</v>
      </c>
      <c r="AS118" s="58" t="str">
        <f>AW107</f>
        <v>( 2 X 50' L X 0.0707 R X 0.0 A ÷ 1,000 )  = 0.0 VD</v>
      </c>
      <c r="AV118" s="58" t="s">
        <v>440</v>
      </c>
      <c r="AW118" s="58" t="str">
        <f>BB98</f>
        <v>( 0.0 VD ÷ 208 V X 100 ) = 0.0 % VD</v>
      </c>
    </row>
    <row r="119" spans="7:49" ht="14.1" customHeight="1">
      <c r="J119" s="69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>
        <v>9</v>
      </c>
      <c r="AK119" s="60" t="s">
        <v>328</v>
      </c>
      <c r="AR119" s="58" t="s">
        <v>441</v>
      </c>
      <c r="AS119" s="174" t="str">
        <f>AV107</f>
        <v>( 2 X 50' L X 0.0707 R X 0.0 A ÷ 1,000 X 0.866 )  = 0.0 VD</v>
      </c>
      <c r="AV119" s="58" t="s">
        <v>442</v>
      </c>
      <c r="AW119" s="58" t="str">
        <f>BA98</f>
        <v>( 0.0 VD ÷ 208 V X 100 ) = 0.0 % VD</v>
      </c>
    </row>
    <row r="120" spans="7:49" ht="14.1" customHeight="1"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>
        <v>10</v>
      </c>
      <c r="AK120" s="60" t="s">
        <v>329</v>
      </c>
    </row>
    <row r="121" spans="7:49" ht="14.1" customHeight="1">
      <c r="Z121" s="60"/>
      <c r="AA121" s="60"/>
      <c r="AB121" s="60"/>
      <c r="AC121" s="60"/>
      <c r="AD121" s="60"/>
      <c r="AE121" s="60"/>
      <c r="AF121" s="60"/>
      <c r="AG121" s="60"/>
      <c r="AJ121" s="60">
        <v>11</v>
      </c>
      <c r="AK121" s="60" t="s">
        <v>330</v>
      </c>
    </row>
    <row r="122" spans="7:49" ht="14.1" customHeight="1">
      <c r="Z122" s="60"/>
      <c r="AA122" s="60"/>
      <c r="AB122" s="60"/>
      <c r="AC122" s="60"/>
      <c r="AD122" s="60"/>
      <c r="AE122" s="60"/>
      <c r="AJ122" s="60">
        <v>12</v>
      </c>
      <c r="AK122" s="60" t="s">
        <v>333</v>
      </c>
    </row>
    <row r="123" spans="7:49" ht="14.1" customHeight="1">
      <c r="Z123" s="60"/>
      <c r="AA123" s="60"/>
      <c r="AB123" s="60"/>
      <c r="AC123" s="60"/>
      <c r="AD123" s="60"/>
      <c r="AE123" s="60"/>
      <c r="AJ123" s="60">
        <v>13</v>
      </c>
      <c r="AK123" s="60" t="s">
        <v>334</v>
      </c>
    </row>
    <row r="124" spans="7:49" ht="14.1" customHeight="1">
      <c r="Z124" s="60"/>
      <c r="AA124" s="60"/>
      <c r="AB124" s="60"/>
      <c r="AC124" s="60"/>
      <c r="AD124" s="60"/>
      <c r="AE124" s="60"/>
      <c r="AJ124" s="60">
        <v>14</v>
      </c>
      <c r="AK124" s="60" t="s">
        <v>336</v>
      </c>
    </row>
    <row r="125" spans="7:49" ht="14.1" customHeight="1">
      <c r="Z125" s="60"/>
      <c r="AA125" s="60"/>
      <c r="AE125" s="60"/>
      <c r="AJ125" s="60">
        <v>15</v>
      </c>
      <c r="AK125" s="60" t="s">
        <v>337</v>
      </c>
    </row>
    <row r="126" spans="7:49" ht="14.1" customHeight="1">
      <c r="Z126" s="60"/>
      <c r="AA126" s="60"/>
      <c r="AE126" s="60"/>
      <c r="AJ126" s="60">
        <v>16</v>
      </c>
      <c r="AK126" s="60" t="s">
        <v>339</v>
      </c>
    </row>
    <row r="127" spans="7:49" ht="14.1" customHeight="1">
      <c r="Z127" s="60"/>
      <c r="AA127" s="60"/>
      <c r="AE127" s="60"/>
      <c r="AJ127" s="60">
        <v>17</v>
      </c>
      <c r="AK127" s="60" t="s">
        <v>340</v>
      </c>
    </row>
    <row r="128" spans="7:49" ht="14.1" customHeight="1">
      <c r="AJ128" s="60">
        <v>18</v>
      </c>
      <c r="AK128" s="60" t="s">
        <v>341</v>
      </c>
    </row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</sheetData>
  <phoneticPr fontId="6" type="noConversion"/>
  <conditionalFormatting sqref="AO60 AO78:AO99 AO57 AO54 AT88:AT115 AR116:AY116 AY88:AY99">
    <cfRule type="expression" dxfId="467" priority="1" stopIfTrue="1">
      <formula>IF($H$8=1,TRUE,FALSE)</formula>
    </cfRule>
  </conditionalFormatting>
  <conditionalFormatting sqref="AP54 AP57 AP60 AP78:AP99 AU88:AU115 AR117:AY117 AZ88:AZ99">
    <cfRule type="expression" dxfId="466" priority="2" stopIfTrue="1">
      <formula>IF($H$8="3Y",TRUE,FALSE)</formula>
    </cfRule>
  </conditionalFormatting>
  <conditionalFormatting sqref="AQ78:AR99 AV88:AW115 AQ54:AR54 AQ57:AR57 AQ60:AR60 AR118:AY119 BA88:BB99">
    <cfRule type="expression" dxfId="465" priority="3" stopIfTrue="1">
      <formula>IF($H$8="3D",TRUE,FALSE)</formula>
    </cfRule>
  </conditionalFormatting>
  <pageMargins left="0.5" right="0" top="0.25" bottom="0" header="0" footer="0"/>
  <pageSetup scale="9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02"/>
  <sheetViews>
    <sheetView topLeftCell="C1" workbookViewId="0">
      <selection activeCell="C1" sqref="C1"/>
    </sheetView>
  </sheetViews>
  <sheetFormatPr defaultColWidth="8" defaultRowHeight="11.25"/>
  <cols>
    <col min="1" max="1" width="16.42578125" style="198" customWidth="1"/>
    <col min="2" max="2" width="8" style="199" customWidth="1"/>
    <col min="3" max="3" width="8" style="198" customWidth="1"/>
    <col min="4" max="4" width="16.85546875" style="198" customWidth="1"/>
    <col min="5" max="5" width="15.5703125" style="198" customWidth="1"/>
    <col min="6" max="6" width="13.5703125" style="198" customWidth="1"/>
    <col min="7" max="7" width="13.7109375" style="198" customWidth="1"/>
    <col min="8" max="9" width="13.7109375" style="199" customWidth="1"/>
    <col min="10" max="10" width="9.28515625" style="199" customWidth="1"/>
    <col min="11" max="11" width="6.28515625" style="199" customWidth="1"/>
    <col min="12" max="12" width="10" style="199" customWidth="1"/>
    <col min="13" max="13" width="13.7109375" style="198" customWidth="1"/>
    <col min="14" max="15" width="8" style="198" customWidth="1"/>
    <col min="16" max="16" width="11" style="198" customWidth="1"/>
    <col min="17" max="17" width="8" style="198" customWidth="1"/>
    <col min="18" max="19" width="3.28515625" style="198" customWidth="1"/>
    <col min="20" max="20" width="6.42578125" style="198" customWidth="1"/>
    <col min="21" max="21" width="6.7109375" style="198" customWidth="1"/>
    <col min="22" max="22" width="16.7109375" style="198" customWidth="1"/>
    <col min="23" max="24" width="15.42578125" style="198" customWidth="1"/>
    <col min="25" max="25" width="7" style="198" customWidth="1"/>
    <col min="26" max="26" width="7.28515625" style="198" customWidth="1"/>
    <col min="27" max="27" width="7.140625" style="198" customWidth="1"/>
    <col min="28" max="29" width="10" style="198" customWidth="1"/>
    <col min="30" max="30" width="5.85546875" style="198" customWidth="1"/>
    <col min="31" max="16384" width="8" style="198"/>
  </cols>
  <sheetData>
    <row r="1" spans="1:35" s="200" customFormat="1">
      <c r="A1" s="198"/>
      <c r="B1" s="199"/>
      <c r="H1" s="201"/>
      <c r="I1" s="201"/>
      <c r="J1" s="201"/>
      <c r="K1" s="201"/>
      <c r="L1" s="201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</row>
    <row r="2" spans="1:35" s="200" customFormat="1">
      <c r="A2" s="198"/>
      <c r="B2" s="199"/>
      <c r="H2" s="201"/>
      <c r="I2" s="201"/>
      <c r="J2" s="201"/>
      <c r="K2" s="201"/>
      <c r="L2" s="201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</row>
    <row r="3" spans="1:35" s="200" customFormat="1">
      <c r="A3" s="198"/>
      <c r="B3" s="199"/>
      <c r="H3" s="201"/>
      <c r="I3" s="201"/>
      <c r="J3" s="201"/>
      <c r="K3" s="201"/>
      <c r="L3" s="201"/>
    </row>
    <row r="4" spans="1:35">
      <c r="C4" s="200"/>
      <c r="D4" s="200"/>
      <c r="E4" s="200"/>
      <c r="F4" s="200"/>
      <c r="G4" s="200"/>
      <c r="H4" s="201" t="s">
        <v>451</v>
      </c>
      <c r="I4" s="201" t="s">
        <v>314</v>
      </c>
      <c r="J4" s="201" t="s">
        <v>314</v>
      </c>
      <c r="K4" s="201" t="s">
        <v>293</v>
      </c>
      <c r="L4" s="201" t="s">
        <v>166</v>
      </c>
      <c r="M4" s="200"/>
      <c r="N4" s="200"/>
      <c r="S4" s="200" t="s">
        <v>452</v>
      </c>
      <c r="T4" s="200"/>
      <c r="U4" s="200"/>
      <c r="V4" s="200"/>
      <c r="W4" s="200"/>
      <c r="X4" s="200"/>
      <c r="Y4" s="200"/>
      <c r="Z4" s="200"/>
      <c r="AA4" s="200"/>
      <c r="AB4" s="200"/>
      <c r="AC4" s="200"/>
      <c r="AF4" s="200"/>
    </row>
    <row r="5" spans="1:35">
      <c r="C5" s="200"/>
      <c r="D5" s="200"/>
      <c r="E5" s="200"/>
      <c r="F5" s="200"/>
      <c r="G5" s="200"/>
      <c r="H5" s="201" t="s">
        <v>453</v>
      </c>
      <c r="I5" s="201" t="s">
        <v>386</v>
      </c>
      <c r="J5" s="201" t="s">
        <v>108</v>
      </c>
      <c r="K5" s="201" t="s">
        <v>108</v>
      </c>
      <c r="L5" s="201" t="s">
        <v>167</v>
      </c>
      <c r="M5" s="200"/>
      <c r="N5" s="200"/>
      <c r="S5" s="203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5"/>
      <c r="AF5" s="206" t="s">
        <v>318</v>
      </c>
      <c r="AG5" s="207"/>
      <c r="AH5" s="207"/>
      <c r="AI5" s="207"/>
    </row>
    <row r="6" spans="1:35">
      <c r="A6" s="200" t="s">
        <v>167</v>
      </c>
      <c r="B6" s="208">
        <f>Conduit!G8</f>
        <v>218</v>
      </c>
      <c r="C6" s="200">
        <f>IF(AND(B8=3,B9="AL",B10="SER"),1,0)</f>
        <v>0</v>
      </c>
      <c r="D6" s="200" t="s">
        <v>454</v>
      </c>
      <c r="E6" s="200" t="str">
        <f>AA21</f>
        <v xml:space="preserve"> SER CABLE</v>
      </c>
      <c r="F6" s="200" t="str">
        <f>AA22</f>
        <v xml:space="preserve"> 3-EXCEED AL  </v>
      </c>
      <c r="G6" s="200" t="str">
        <f>AA23</f>
        <v xml:space="preserve"> 1-EXCEED GND</v>
      </c>
      <c r="H6" s="201" t="str">
        <f>AB19</f>
        <v>EXCEED</v>
      </c>
      <c r="I6" s="201" t="str">
        <f>AC19</f>
        <v>EXCEED</v>
      </c>
      <c r="J6" s="201" t="str">
        <f>W19</f>
        <v>EXCEED</v>
      </c>
      <c r="K6" s="201" t="str">
        <f>X19</f>
        <v>EXCEED</v>
      </c>
      <c r="L6" s="201">
        <f>Y19</f>
        <v>180</v>
      </c>
      <c r="M6" s="200" t="str">
        <f>V19</f>
        <v>EXCEED</v>
      </c>
      <c r="N6" s="200"/>
      <c r="P6" s="198" t="s">
        <v>167</v>
      </c>
      <c r="Q6" s="198">
        <f>B6</f>
        <v>218</v>
      </c>
      <c r="S6" s="209"/>
      <c r="T6" s="210" t="s">
        <v>455</v>
      </c>
      <c r="U6" s="210" t="s">
        <v>287</v>
      </c>
      <c r="V6" s="211" t="s">
        <v>314</v>
      </c>
      <c r="W6" s="211" t="s">
        <v>314</v>
      </c>
      <c r="X6" s="211" t="s">
        <v>293</v>
      </c>
      <c r="Y6" s="212" t="str">
        <f>IF($Q$7=60,AG6,IF($Q$7=75,AH6,IF($Q$7=90,AI6)))</f>
        <v>75 C</v>
      </c>
      <c r="Z6" s="211" t="s">
        <v>314</v>
      </c>
      <c r="AA6" s="210" t="s">
        <v>455</v>
      </c>
      <c r="AB6" s="211" t="s">
        <v>451</v>
      </c>
      <c r="AC6" s="211" t="s">
        <v>386</v>
      </c>
      <c r="AD6" s="213"/>
      <c r="AF6" s="211" t="s">
        <v>314</v>
      </c>
      <c r="AG6" s="211" t="s">
        <v>315</v>
      </c>
      <c r="AH6" s="211" t="s">
        <v>316</v>
      </c>
      <c r="AI6" s="211" t="s">
        <v>317</v>
      </c>
    </row>
    <row r="7" spans="1:35">
      <c r="A7" s="200" t="s">
        <v>271</v>
      </c>
      <c r="B7" s="208">
        <f>Input!D38</f>
        <v>75</v>
      </c>
      <c r="C7" s="198">
        <f>IF(AND(B8=3,B9="CU",B10="SER"),1,0)</f>
        <v>0</v>
      </c>
      <c r="D7" s="200" t="s">
        <v>456</v>
      </c>
      <c r="E7" s="198" t="str">
        <f>AA45</f>
        <v xml:space="preserve"> SER CABLE</v>
      </c>
      <c r="F7" s="198" t="str">
        <f>AA46</f>
        <v xml:space="preserve"> 3-#4/0 CU  </v>
      </c>
      <c r="G7" s="198" t="str">
        <f>AA47</f>
        <v xml:space="preserve"> 1-#2/0 GND</v>
      </c>
      <c r="H7" s="199">
        <f>AB43</f>
        <v>17483</v>
      </c>
      <c r="I7" s="199">
        <f>AC43</f>
        <v>6.08E-2</v>
      </c>
      <c r="J7" s="199" t="str">
        <f>W43</f>
        <v>#4/0</v>
      </c>
      <c r="K7" s="199" t="str">
        <f>X43</f>
        <v>#2/0</v>
      </c>
      <c r="L7" s="199">
        <f>Y43</f>
        <v>230</v>
      </c>
      <c r="M7" s="200" t="str">
        <f>V43</f>
        <v>4/0-4/0-4/0-2/0</v>
      </c>
      <c r="P7" s="198" t="s">
        <v>271</v>
      </c>
      <c r="Q7" s="198">
        <f>B7</f>
        <v>75</v>
      </c>
      <c r="S7" s="209"/>
      <c r="T7" s="214" t="s">
        <v>457</v>
      </c>
      <c r="U7" s="214"/>
      <c r="V7" s="215" t="s">
        <v>108</v>
      </c>
      <c r="W7" s="215" t="s">
        <v>108</v>
      </c>
      <c r="X7" s="215" t="s">
        <v>108</v>
      </c>
      <c r="Y7" s="215" t="s">
        <v>167</v>
      </c>
      <c r="Z7" s="215" t="s">
        <v>108</v>
      </c>
      <c r="AA7" s="214" t="s">
        <v>457</v>
      </c>
      <c r="AB7" s="215" t="s">
        <v>453</v>
      </c>
      <c r="AC7" s="215" t="s">
        <v>389</v>
      </c>
      <c r="AD7" s="213"/>
      <c r="AF7" s="215" t="s">
        <v>108</v>
      </c>
      <c r="AG7" s="215" t="s">
        <v>167</v>
      </c>
      <c r="AH7" s="215" t="s">
        <v>167</v>
      </c>
      <c r="AI7" s="215" t="s">
        <v>167</v>
      </c>
    </row>
    <row r="8" spans="1:35">
      <c r="A8" s="200" t="s">
        <v>458</v>
      </c>
      <c r="B8" s="216">
        <f>IF(Input!D11=1,3,4)</f>
        <v>4</v>
      </c>
      <c r="C8" s="198">
        <f>IF(AND(B8=4,B9="AL",B10="SER"),1,0)</f>
        <v>0</v>
      </c>
      <c r="D8" s="198" t="s">
        <v>459</v>
      </c>
      <c r="E8" s="198" t="str">
        <f>AA71</f>
        <v xml:space="preserve"> SER CABLE</v>
      </c>
      <c r="F8" s="198" t="str">
        <f>AA72</f>
        <v xml:space="preserve"> 4-#300 AL  </v>
      </c>
      <c r="G8" s="198" t="str">
        <f>AA73</f>
        <v xml:space="preserve"> 1-#4/0 GND</v>
      </c>
      <c r="H8" s="199">
        <f>AB69</f>
        <v>15495</v>
      </c>
      <c r="I8" s="199">
        <f>AC69</f>
        <v>7.0699999999999999E-2</v>
      </c>
      <c r="J8" s="199" t="str">
        <f>W69</f>
        <v>#300</v>
      </c>
      <c r="K8" s="199" t="str">
        <f>X69</f>
        <v>#4/0</v>
      </c>
      <c r="L8" s="199">
        <f>Y69</f>
        <v>230</v>
      </c>
      <c r="M8" s="200" t="str">
        <f>V69</f>
        <v>300-300-300-300-4/0</v>
      </c>
      <c r="S8" s="209"/>
      <c r="T8" s="217"/>
      <c r="U8" s="217"/>
      <c r="V8" s="215" t="s">
        <v>320</v>
      </c>
      <c r="W8" s="215"/>
      <c r="X8" s="215"/>
      <c r="Y8" s="215" t="s">
        <v>324</v>
      </c>
      <c r="Z8" s="215" t="s">
        <v>123</v>
      </c>
      <c r="AA8" s="217"/>
      <c r="AB8" s="218"/>
      <c r="AC8" s="218" t="s">
        <v>324</v>
      </c>
      <c r="AD8" s="213"/>
      <c r="AF8" s="215" t="s">
        <v>320</v>
      </c>
      <c r="AG8" s="215" t="s">
        <v>324</v>
      </c>
      <c r="AH8" s="215" t="s">
        <v>324</v>
      </c>
      <c r="AI8" s="215" t="s">
        <v>324</v>
      </c>
    </row>
    <row r="9" spans="1:35">
      <c r="A9" s="198" t="s">
        <v>460</v>
      </c>
      <c r="B9" s="219" t="str">
        <f>Input!D37</f>
        <v>AL</v>
      </c>
      <c r="C9" s="198">
        <f>IF(AND(B8=3,B9="CU",B10="ROMEX"),1,0)</f>
        <v>0</v>
      </c>
      <c r="D9" s="198" t="s">
        <v>461</v>
      </c>
      <c r="E9" s="198" t="str">
        <f>AA92</f>
        <v xml:space="preserve"> ROMEX</v>
      </c>
      <c r="F9" s="198" t="str">
        <f>AA93</f>
        <v xml:space="preserve"> 3-EXCEED CU  </v>
      </c>
      <c r="G9" s="198" t="str">
        <f>AA94</f>
        <v xml:space="preserve"> 1-EXCEED GND</v>
      </c>
      <c r="H9" s="199" t="str">
        <f>AB90</f>
        <v>EXCEED</v>
      </c>
      <c r="I9" s="199" t="str">
        <f>AC90</f>
        <v>EXCEED</v>
      </c>
      <c r="J9" s="199" t="str">
        <f>W90</f>
        <v>EXCEED</v>
      </c>
      <c r="K9" s="199" t="str">
        <f>X90</f>
        <v>EXCEED</v>
      </c>
      <c r="L9" s="199">
        <f>Y90</f>
        <v>115</v>
      </c>
      <c r="M9" s="200" t="str">
        <f>V90</f>
        <v>EXCEED</v>
      </c>
      <c r="S9" s="209"/>
      <c r="T9" s="210">
        <v>100</v>
      </c>
      <c r="U9" s="210">
        <v>0</v>
      </c>
      <c r="V9" s="220" t="s">
        <v>462</v>
      </c>
      <c r="W9" s="220" t="s">
        <v>322</v>
      </c>
      <c r="X9" s="220" t="s">
        <v>322</v>
      </c>
      <c r="Y9" s="212">
        <f t="shared" ref="Y9:Y16" si="0">IF($Q$7=60,AG9,IF($Q$7=75,AH9,IF($Q$7=90,AI9)))</f>
        <v>50</v>
      </c>
      <c r="Z9" s="210">
        <v>5</v>
      </c>
      <c r="AA9" s="210">
        <v>100</v>
      </c>
      <c r="AB9" s="210">
        <v>1482</v>
      </c>
      <c r="AC9" s="221">
        <v>0.80800000000000005</v>
      </c>
      <c r="AD9" s="213"/>
      <c r="AF9" s="211" t="s">
        <v>322</v>
      </c>
      <c r="AG9" s="211">
        <v>40</v>
      </c>
      <c r="AH9" s="211">
        <v>50</v>
      </c>
      <c r="AI9" s="211">
        <v>60</v>
      </c>
    </row>
    <row r="10" spans="1:35">
      <c r="A10" s="198" t="s">
        <v>463</v>
      </c>
      <c r="B10" s="222" t="str">
        <f>Input!D34</f>
        <v>CONDUIT</v>
      </c>
      <c r="C10" s="198">
        <f>IF(AND(B8=3,B9="AL",B10="MC"),1,0)</f>
        <v>0</v>
      </c>
      <c r="D10" s="198" t="s">
        <v>464</v>
      </c>
      <c r="E10" s="198" t="str">
        <f>AA119</f>
        <v xml:space="preserve"> MC CABLE</v>
      </c>
      <c r="F10" s="198" t="str">
        <f>AA120</f>
        <v xml:space="preserve"> 3-#300 AL  </v>
      </c>
      <c r="G10" s="198" t="str">
        <f>AA121</f>
        <v xml:space="preserve"> 1-#1 GND</v>
      </c>
      <c r="H10" s="199">
        <f>AB117</f>
        <v>16795</v>
      </c>
      <c r="I10" s="199">
        <f>AC117</f>
        <v>6.0499999999999998E-2</v>
      </c>
      <c r="J10" s="199" t="str">
        <f>W117</f>
        <v>#300</v>
      </c>
      <c r="K10" s="199" t="str">
        <f>X117</f>
        <v>#1</v>
      </c>
      <c r="L10" s="199">
        <f>Y117</f>
        <v>250</v>
      </c>
      <c r="M10" s="200" t="str">
        <f>V117</f>
        <v>350-350-350-1</v>
      </c>
      <c r="S10" s="209"/>
      <c r="T10" s="214">
        <v>101</v>
      </c>
      <c r="U10" s="214">
        <f t="shared" ref="U10:U17" si="1">Y9+0.0000001</f>
        <v>50.000000100000001</v>
      </c>
      <c r="V10" s="223" t="s">
        <v>465</v>
      </c>
      <c r="W10" s="223" t="s">
        <v>325</v>
      </c>
      <c r="X10" s="223" t="s">
        <v>322</v>
      </c>
      <c r="Y10" s="224">
        <f t="shared" si="0"/>
        <v>65</v>
      </c>
      <c r="Z10" s="214">
        <v>6</v>
      </c>
      <c r="AA10" s="214">
        <v>101</v>
      </c>
      <c r="AB10" s="214">
        <v>2353</v>
      </c>
      <c r="AC10" s="221">
        <v>0.50800000000000001</v>
      </c>
      <c r="AD10" s="213"/>
      <c r="AF10" s="215" t="s">
        <v>325</v>
      </c>
      <c r="AG10" s="215">
        <v>55</v>
      </c>
      <c r="AH10" s="215">
        <v>65</v>
      </c>
      <c r="AI10" s="215">
        <v>75</v>
      </c>
    </row>
    <row r="11" spans="1:35">
      <c r="C11" s="198">
        <f>IF(AND(B8=4,B9="AL",B10="MC"),1,0)</f>
        <v>0</v>
      </c>
      <c r="D11" s="198" t="s">
        <v>466</v>
      </c>
      <c r="E11" s="198" t="str">
        <f>AA146</f>
        <v xml:space="preserve"> MC CABLE</v>
      </c>
      <c r="F11" s="198" t="str">
        <f>AA147</f>
        <v xml:space="preserve"> 4-#350 AL  </v>
      </c>
      <c r="G11" s="198" t="str">
        <f>AA148</f>
        <v xml:space="preserve"> 1-#1/0 GND</v>
      </c>
      <c r="H11" s="199">
        <f>AB144</f>
        <v>16795</v>
      </c>
      <c r="I11" s="199">
        <f>AC144</f>
        <v>6.0499999999999998E-2</v>
      </c>
      <c r="J11" s="199" t="str">
        <f>W144</f>
        <v>#350</v>
      </c>
      <c r="K11" s="199" t="str">
        <f>X144</f>
        <v>#1/0</v>
      </c>
      <c r="L11" s="199">
        <f>Y144</f>
        <v>250</v>
      </c>
      <c r="M11" s="200" t="str">
        <f>V144</f>
        <v>350-350-350-350-1/0</v>
      </c>
      <c r="S11" s="209"/>
      <c r="T11" s="214">
        <v>102</v>
      </c>
      <c r="U11" s="214">
        <f t="shared" si="1"/>
        <v>65.000000099999994</v>
      </c>
      <c r="V11" s="223" t="s">
        <v>467</v>
      </c>
      <c r="W11" s="223" t="s">
        <v>326</v>
      </c>
      <c r="X11" s="223" t="s">
        <v>325</v>
      </c>
      <c r="Y11" s="224">
        <f t="shared" si="0"/>
        <v>90</v>
      </c>
      <c r="Z11" s="214">
        <v>8</v>
      </c>
      <c r="AA11" s="214">
        <v>102</v>
      </c>
      <c r="AB11" s="214">
        <v>3740</v>
      </c>
      <c r="AC11" s="221">
        <v>0.31900000000000001</v>
      </c>
      <c r="AD11" s="213"/>
      <c r="AF11" s="215" t="s">
        <v>326</v>
      </c>
      <c r="AG11" s="215">
        <v>75</v>
      </c>
      <c r="AH11" s="215">
        <v>90</v>
      </c>
      <c r="AI11" s="215">
        <v>100</v>
      </c>
    </row>
    <row r="12" spans="1:35">
      <c r="C12" s="198">
        <f>IF(AND(B8=3,B9="CU",B10="MC"),1,0)</f>
        <v>0</v>
      </c>
      <c r="D12" s="198" t="s">
        <v>468</v>
      </c>
      <c r="E12" s="198" t="str">
        <f>AA172</f>
        <v xml:space="preserve"> MC CABLE</v>
      </c>
      <c r="F12" s="198" t="str">
        <f>AA173</f>
        <v xml:space="preserve"> 3-#4/0 CU  </v>
      </c>
      <c r="G12" s="198" t="str">
        <f>AA174</f>
        <v xml:space="preserve"> 1-#4 GND</v>
      </c>
      <c r="H12" s="199">
        <f>AB170</f>
        <v>16392</v>
      </c>
      <c r="I12" s="199">
        <f>AC170</f>
        <v>6.08E-2</v>
      </c>
      <c r="J12" s="199" t="str">
        <f>W170</f>
        <v>#4/0</v>
      </c>
      <c r="K12" s="199" t="str">
        <f>X170</f>
        <v>#4</v>
      </c>
      <c r="L12" s="199">
        <f>Y170</f>
        <v>230</v>
      </c>
      <c r="M12" s="200" t="str">
        <f>V170</f>
        <v>4/0-4/0-4/0-4</v>
      </c>
      <c r="S12" s="209"/>
      <c r="T12" s="214">
        <v>103</v>
      </c>
      <c r="U12" s="214">
        <f t="shared" si="1"/>
        <v>90.000000099999994</v>
      </c>
      <c r="V12" s="223" t="s">
        <v>469</v>
      </c>
      <c r="W12" s="223" t="s">
        <v>328</v>
      </c>
      <c r="X12" s="223" t="s">
        <v>327</v>
      </c>
      <c r="Y12" s="224">
        <f t="shared" si="0"/>
        <v>100</v>
      </c>
      <c r="Z12" s="214">
        <v>9</v>
      </c>
      <c r="AA12" s="214">
        <v>103</v>
      </c>
      <c r="AB12" s="214">
        <v>4699</v>
      </c>
      <c r="AC12" s="221">
        <v>0.253</v>
      </c>
      <c r="AD12" s="213"/>
      <c r="AF12" s="215" t="s">
        <v>328</v>
      </c>
      <c r="AG12" s="215">
        <v>85</v>
      </c>
      <c r="AH12" s="215">
        <v>100</v>
      </c>
      <c r="AI12" s="215">
        <v>115</v>
      </c>
    </row>
    <row r="13" spans="1:35">
      <c r="C13" s="198">
        <f>IF(AND(B8=4,B9="CU",B10="MC"),1,0)</f>
        <v>0</v>
      </c>
      <c r="D13" s="198" t="s">
        <v>470</v>
      </c>
      <c r="E13" s="198" t="str">
        <f>AA199</f>
        <v xml:space="preserve"> MC CABLE</v>
      </c>
      <c r="F13" s="198" t="str">
        <f>AA200</f>
        <v xml:space="preserve"> 4-#4/0 CU  </v>
      </c>
      <c r="G13" s="198" t="str">
        <f>AA201</f>
        <v xml:space="preserve"> 1-#4 GND</v>
      </c>
      <c r="H13" s="199">
        <f>AB197</f>
        <v>16392</v>
      </c>
      <c r="I13" s="199">
        <f>AC197</f>
        <v>6.08E-2</v>
      </c>
      <c r="J13" s="199" t="str">
        <f>W197</f>
        <v>#4/0</v>
      </c>
      <c r="K13" s="199" t="str">
        <f>X197</f>
        <v>#4</v>
      </c>
      <c r="L13" s="199">
        <f>Y197</f>
        <v>230</v>
      </c>
      <c r="M13" s="200" t="str">
        <f>V197</f>
        <v>4/0-4/0-4/0-4/0-4</v>
      </c>
      <c r="S13" s="209"/>
      <c r="T13" s="214">
        <v>104</v>
      </c>
      <c r="U13" s="214">
        <f t="shared" si="1"/>
        <v>100.00000009999999</v>
      </c>
      <c r="V13" s="223" t="s">
        <v>471</v>
      </c>
      <c r="W13" s="223" t="s">
        <v>329</v>
      </c>
      <c r="X13" s="223" t="s">
        <v>326</v>
      </c>
      <c r="Y13" s="224">
        <f t="shared" si="0"/>
        <v>120</v>
      </c>
      <c r="Z13" s="214">
        <v>10</v>
      </c>
      <c r="AA13" s="214">
        <v>104</v>
      </c>
      <c r="AB13" s="214">
        <v>5876</v>
      </c>
      <c r="AC13" s="221">
        <v>0.20100000000000001</v>
      </c>
      <c r="AD13" s="213"/>
      <c r="AF13" s="215" t="s">
        <v>329</v>
      </c>
      <c r="AG13" s="215">
        <v>100</v>
      </c>
      <c r="AH13" s="215">
        <v>120</v>
      </c>
      <c r="AI13" s="215">
        <v>135</v>
      </c>
    </row>
    <row r="14" spans="1:35">
      <c r="S14" s="209"/>
      <c r="T14" s="214">
        <v>105</v>
      </c>
      <c r="U14" s="214">
        <f t="shared" si="1"/>
        <v>120.00000009999999</v>
      </c>
      <c r="V14" s="223" t="s">
        <v>472</v>
      </c>
      <c r="W14" s="223" t="s">
        <v>330</v>
      </c>
      <c r="X14" s="223" t="s">
        <v>328</v>
      </c>
      <c r="Y14" s="224">
        <f t="shared" si="0"/>
        <v>135</v>
      </c>
      <c r="Z14" s="214">
        <v>11</v>
      </c>
      <c r="AA14" s="214">
        <v>105</v>
      </c>
      <c r="AB14" s="214">
        <v>7373</v>
      </c>
      <c r="AC14" s="221">
        <v>0.159</v>
      </c>
      <c r="AD14" s="213"/>
      <c r="AF14" s="215" t="s">
        <v>330</v>
      </c>
      <c r="AG14" s="215">
        <v>115</v>
      </c>
      <c r="AH14" s="215">
        <v>135</v>
      </c>
      <c r="AI14" s="215">
        <v>150</v>
      </c>
    </row>
    <row r="15" spans="1:35">
      <c r="S15" s="209"/>
      <c r="T15" s="214">
        <v>106</v>
      </c>
      <c r="U15" s="214">
        <f t="shared" si="1"/>
        <v>135.00000009999999</v>
      </c>
      <c r="V15" s="223" t="s">
        <v>473</v>
      </c>
      <c r="W15" s="223" t="s">
        <v>333</v>
      </c>
      <c r="X15" s="223" t="s">
        <v>329</v>
      </c>
      <c r="Y15" s="224">
        <f t="shared" si="0"/>
        <v>155</v>
      </c>
      <c r="Z15" s="214">
        <v>12</v>
      </c>
      <c r="AA15" s="214">
        <v>106</v>
      </c>
      <c r="AB15" s="214">
        <v>9243</v>
      </c>
      <c r="AC15" s="221">
        <v>0.126</v>
      </c>
      <c r="AD15" s="213"/>
      <c r="AF15" s="215" t="s">
        <v>333</v>
      </c>
      <c r="AG15" s="215">
        <v>130</v>
      </c>
      <c r="AH15" s="215">
        <v>155</v>
      </c>
      <c r="AI15" s="215">
        <v>175</v>
      </c>
    </row>
    <row r="16" spans="1:35">
      <c r="D16" s="198" t="str">
        <f t="shared" ref="D16:M16" si="2">IF($C6=1,D6,IF($C7=1,D7,IF($C8=1,D8,IF($C9=1,D9,IF($C10=1,D10,IF($C11=1,D11,IF($C12=1,D12,IF($C13=1,D13,"ERROR"))))))))</f>
        <v>ERROR</v>
      </c>
      <c r="E16" s="198" t="str">
        <f t="shared" si="2"/>
        <v>ERROR</v>
      </c>
      <c r="F16" s="198" t="str">
        <f t="shared" si="2"/>
        <v>ERROR</v>
      </c>
      <c r="G16" s="198" t="str">
        <f t="shared" si="2"/>
        <v>ERROR</v>
      </c>
      <c r="H16" s="199" t="str">
        <f t="shared" si="2"/>
        <v>ERROR</v>
      </c>
      <c r="I16" s="199" t="str">
        <f t="shared" si="2"/>
        <v>ERROR</v>
      </c>
      <c r="J16" s="199" t="str">
        <f t="shared" si="2"/>
        <v>ERROR</v>
      </c>
      <c r="K16" s="199" t="str">
        <f t="shared" si="2"/>
        <v>ERROR</v>
      </c>
      <c r="L16" s="199" t="str">
        <f t="shared" si="2"/>
        <v>ERROR</v>
      </c>
      <c r="M16" s="198" t="str">
        <f t="shared" si="2"/>
        <v>ERROR</v>
      </c>
      <c r="S16" s="209"/>
      <c r="T16" s="214">
        <v>107</v>
      </c>
      <c r="U16" s="214">
        <f t="shared" si="1"/>
        <v>155.00000009999999</v>
      </c>
      <c r="V16" s="223" t="s">
        <v>474</v>
      </c>
      <c r="W16" s="223" t="s">
        <v>334</v>
      </c>
      <c r="X16" s="223" t="s">
        <v>330</v>
      </c>
      <c r="Y16" s="224">
        <f t="shared" si="0"/>
        <v>180</v>
      </c>
      <c r="Z16" s="214">
        <v>13</v>
      </c>
      <c r="AA16" s="214">
        <v>107</v>
      </c>
      <c r="AB16" s="214">
        <v>11409</v>
      </c>
      <c r="AC16" s="221">
        <v>0.1</v>
      </c>
      <c r="AD16" s="213"/>
      <c r="AF16" s="218" t="s">
        <v>334</v>
      </c>
      <c r="AG16" s="218">
        <v>150</v>
      </c>
      <c r="AH16" s="218">
        <v>180</v>
      </c>
      <c r="AI16" s="218">
        <v>205</v>
      </c>
    </row>
    <row r="17" spans="4:37">
      <c r="S17" s="209"/>
      <c r="T17" s="217">
        <v>108</v>
      </c>
      <c r="U17" s="217">
        <f t="shared" si="1"/>
        <v>180.00000009999999</v>
      </c>
      <c r="V17" s="225" t="s">
        <v>475</v>
      </c>
      <c r="W17" s="225" t="s">
        <v>475</v>
      </c>
      <c r="X17" s="225" t="s">
        <v>475</v>
      </c>
      <c r="Y17" s="226">
        <f>Y16</f>
        <v>180</v>
      </c>
      <c r="Z17" s="217" t="s">
        <v>475</v>
      </c>
      <c r="AA17" s="217">
        <v>108</v>
      </c>
      <c r="AB17" s="227" t="s">
        <v>475</v>
      </c>
      <c r="AC17" s="227" t="s">
        <v>475</v>
      </c>
      <c r="AD17" s="213"/>
      <c r="AF17" s="200"/>
    </row>
    <row r="18" spans="4:37">
      <c r="D18" s="228" t="str">
        <f>D16</f>
        <v>ERROR</v>
      </c>
      <c r="E18" s="228" t="str">
        <f t="shared" ref="E18:K18" si="3">IF($M16="EXCEED","ERROR",E16)</f>
        <v>ERROR</v>
      </c>
      <c r="F18" s="228" t="str">
        <f t="shared" si="3"/>
        <v>ERROR</v>
      </c>
      <c r="G18" s="228" t="str">
        <f t="shared" si="3"/>
        <v>ERROR</v>
      </c>
      <c r="H18" s="229" t="str">
        <f t="shared" si="3"/>
        <v>ERROR</v>
      </c>
      <c r="I18" s="229" t="str">
        <f t="shared" si="3"/>
        <v>ERROR</v>
      </c>
      <c r="J18" s="229" t="str">
        <f t="shared" si="3"/>
        <v>ERROR</v>
      </c>
      <c r="K18" s="229" t="str">
        <f t="shared" si="3"/>
        <v>ERROR</v>
      </c>
      <c r="L18" s="229" t="str">
        <f>L16</f>
        <v>ERROR</v>
      </c>
      <c r="M18" s="228" t="str">
        <f>M16</f>
        <v>ERROR</v>
      </c>
      <c r="S18" s="209"/>
      <c r="T18" s="200"/>
      <c r="U18" s="200"/>
      <c r="V18" s="230"/>
      <c r="W18" s="230"/>
      <c r="X18" s="230"/>
      <c r="Y18" s="200"/>
      <c r="Z18" s="200"/>
      <c r="AA18" s="200"/>
      <c r="AB18" s="200"/>
      <c r="AC18" s="200"/>
      <c r="AD18" s="213"/>
      <c r="AF18" s="200"/>
    </row>
    <row r="19" spans="4:37">
      <c r="S19" s="209"/>
      <c r="T19" s="200">
        <f>VLOOKUP(AA19,T9:AA17,1)</f>
        <v>108</v>
      </c>
      <c r="U19" s="200"/>
      <c r="V19" s="200" t="str">
        <f>VLOOKUP(Q6,U9:AB17,2)</f>
        <v>EXCEED</v>
      </c>
      <c r="W19" s="200" t="str">
        <f>VLOOKUP(Q6,U9:AB17,3)</f>
        <v>EXCEED</v>
      </c>
      <c r="X19" s="200" t="str">
        <f>VLOOKUP(Q6,U9:AB17,4)</f>
        <v>EXCEED</v>
      </c>
      <c r="Y19" s="200">
        <f>VLOOKUP(Q6,U9:AB17,5)</f>
        <v>180</v>
      </c>
      <c r="Z19" s="200" t="str">
        <f>VLOOKUP(Q6,U9:AB17,6)</f>
        <v>EXCEED</v>
      </c>
      <c r="AA19" s="200">
        <f>VLOOKUP(Q6,U9:AB17,7)</f>
        <v>108</v>
      </c>
      <c r="AB19" s="200" t="str">
        <f>VLOOKUP(Q6,U9:AB17,8)</f>
        <v>EXCEED</v>
      </c>
      <c r="AC19" s="200" t="str">
        <f>VLOOKUP(Q6,U9:AC17,9)</f>
        <v>EXCEED</v>
      </c>
      <c r="AD19" s="213"/>
      <c r="AF19" s="200"/>
    </row>
    <row r="20" spans="4:37">
      <c r="S20" s="209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13"/>
    </row>
    <row r="21" spans="4:37">
      <c r="R21" s="231"/>
      <c r="S21" s="209"/>
      <c r="T21" s="200"/>
      <c r="U21" s="200"/>
      <c r="V21" s="200" t="s">
        <v>476</v>
      </c>
      <c r="W21" s="200"/>
      <c r="X21" s="200"/>
      <c r="Y21" s="200"/>
      <c r="Z21" s="200"/>
      <c r="AA21" s="200" t="str">
        <f>CONCATENATE(V21,W21,X21,Y21)</f>
        <v xml:space="preserve"> SER CABLE</v>
      </c>
      <c r="AB21" s="200"/>
      <c r="AC21" s="200"/>
      <c r="AD21" s="213"/>
    </row>
    <row r="22" spans="4:37">
      <c r="R22" s="231"/>
      <c r="S22" s="209"/>
      <c r="T22" s="200"/>
      <c r="U22" s="200"/>
      <c r="V22" s="200" t="s">
        <v>477</v>
      </c>
      <c r="W22" s="200" t="str">
        <f>W19</f>
        <v>EXCEED</v>
      </c>
      <c r="X22" s="200" t="s">
        <v>478</v>
      </c>
      <c r="Y22" s="200" t="s">
        <v>53</v>
      </c>
      <c r="Z22" s="200" t="s">
        <v>53</v>
      </c>
      <c r="AA22" s="200" t="str">
        <f>CONCATENATE(V22,W22,X22,Y22,Z22)</f>
        <v xml:space="preserve"> 3-EXCEED AL  </v>
      </c>
      <c r="AB22" s="200"/>
      <c r="AC22" s="200"/>
      <c r="AD22" s="213"/>
      <c r="AK22" s="207"/>
    </row>
    <row r="23" spans="4:37">
      <c r="D23" s="198" t="s">
        <v>479</v>
      </c>
      <c r="E23" s="198">
        <f>B6</f>
        <v>218</v>
      </c>
      <c r="F23" s="198" t="s">
        <v>480</v>
      </c>
      <c r="J23" s="232" t="str">
        <f>CONCATENATE(D23,E23,F23)</f>
        <v xml:space="preserve"> THE DESIGN LOAD OF 218 AMPS EXCEEDS THE</v>
      </c>
      <c r="R23" s="231"/>
      <c r="S23" s="209"/>
      <c r="T23" s="200"/>
      <c r="U23" s="200"/>
      <c r="V23" s="200" t="s">
        <v>481</v>
      </c>
      <c r="W23" s="200" t="str">
        <f>X19</f>
        <v>EXCEED</v>
      </c>
      <c r="X23" s="200" t="s">
        <v>412</v>
      </c>
      <c r="Y23" s="200"/>
      <c r="Z23" s="200"/>
      <c r="AA23" s="200" t="str">
        <f>CONCATENATE(V23,W23,X23,Y23,Z23)</f>
        <v xml:space="preserve"> 1-EXCEED GND</v>
      </c>
      <c r="AB23" s="200"/>
      <c r="AC23" s="200"/>
      <c r="AD23" s="213"/>
    </row>
    <row r="24" spans="4:37">
      <c r="D24" s="198" t="s">
        <v>482</v>
      </c>
      <c r="E24" s="198" t="str">
        <f>L18</f>
        <v>ERROR</v>
      </c>
      <c r="F24" s="198" t="s">
        <v>483</v>
      </c>
      <c r="J24" s="232" t="str">
        <f>CONCATENATE(D24,E24,F24)</f>
        <v xml:space="preserve"> MAXIMUM CABLE RATING OF ERROR AMPS</v>
      </c>
      <c r="S24" s="233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5"/>
      <c r="AF24" s="200"/>
    </row>
    <row r="25" spans="4:37">
      <c r="AF25" s="200"/>
    </row>
    <row r="26" spans="4:37">
      <c r="AF26" s="200"/>
    </row>
    <row r="27" spans="4:37">
      <c r="S27" s="200" t="s">
        <v>484</v>
      </c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F27" s="200"/>
    </row>
    <row r="28" spans="4:37">
      <c r="D28" s="198" t="str">
        <f>IF(E18="ERROR",""," 1-")</f>
        <v/>
      </c>
      <c r="E28" s="198" t="str">
        <f>E18</f>
        <v>ERROR</v>
      </c>
      <c r="I28" s="236" t="str">
        <f>CONCATENATE(D28,E28)</f>
        <v>ERROR</v>
      </c>
      <c r="S28" s="203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5"/>
      <c r="AF28" s="206" t="s">
        <v>318</v>
      </c>
      <c r="AG28" s="207"/>
      <c r="AH28" s="207"/>
      <c r="AI28" s="207"/>
      <c r="AJ28" s="207"/>
    </row>
    <row r="29" spans="4:37">
      <c r="D29" s="198" t="str">
        <f>F18</f>
        <v>ERROR</v>
      </c>
      <c r="I29" s="236" t="str">
        <f>CONCATENATE(D29,E29)</f>
        <v>ERROR</v>
      </c>
      <c r="P29" s="198" t="s">
        <v>167</v>
      </c>
      <c r="Q29" s="198">
        <f>B6</f>
        <v>218</v>
      </c>
      <c r="S29" s="209"/>
      <c r="T29" s="210" t="s">
        <v>455</v>
      </c>
      <c r="U29" s="210" t="s">
        <v>287</v>
      </c>
      <c r="V29" s="211" t="s">
        <v>314</v>
      </c>
      <c r="W29" s="211" t="s">
        <v>314</v>
      </c>
      <c r="X29" s="211" t="s">
        <v>293</v>
      </c>
      <c r="Y29" s="212" t="str">
        <f>IF($Q$30=60,AG29,IF($Q$30=75,AH29,IF($Q$30=90,AI29)))</f>
        <v>75 C</v>
      </c>
      <c r="Z29" s="211" t="s">
        <v>314</v>
      </c>
      <c r="AA29" s="210" t="s">
        <v>455</v>
      </c>
      <c r="AB29" s="211" t="s">
        <v>451</v>
      </c>
      <c r="AC29" s="211" t="s">
        <v>386</v>
      </c>
      <c r="AD29" s="213"/>
      <c r="AF29" s="211" t="s">
        <v>314</v>
      </c>
      <c r="AG29" s="211" t="s">
        <v>315</v>
      </c>
      <c r="AH29" s="211" t="s">
        <v>316</v>
      </c>
      <c r="AI29" s="211" t="s">
        <v>317</v>
      </c>
    </row>
    <row r="30" spans="4:37">
      <c r="D30" s="198" t="str">
        <f>G18</f>
        <v>ERROR</v>
      </c>
      <c r="I30" s="236" t="str">
        <f>CONCATENATE(D30,E30)</f>
        <v>ERROR</v>
      </c>
      <c r="P30" s="198" t="s">
        <v>271</v>
      </c>
      <c r="Q30" s="198">
        <f>B7</f>
        <v>75</v>
      </c>
      <c r="S30" s="209"/>
      <c r="T30" s="214" t="s">
        <v>457</v>
      </c>
      <c r="U30" s="214"/>
      <c r="V30" s="215" t="s">
        <v>108</v>
      </c>
      <c r="W30" s="215" t="s">
        <v>108</v>
      </c>
      <c r="X30" s="215" t="s">
        <v>108</v>
      </c>
      <c r="Y30" s="215" t="s">
        <v>167</v>
      </c>
      <c r="Z30" s="215" t="s">
        <v>108</v>
      </c>
      <c r="AA30" s="214" t="s">
        <v>457</v>
      </c>
      <c r="AB30" s="215" t="s">
        <v>453</v>
      </c>
      <c r="AC30" s="215" t="s">
        <v>389</v>
      </c>
      <c r="AD30" s="213"/>
      <c r="AF30" s="215" t="s">
        <v>108</v>
      </c>
      <c r="AG30" s="215" t="s">
        <v>167</v>
      </c>
      <c r="AH30" s="215" t="s">
        <v>167</v>
      </c>
      <c r="AI30" s="215" t="s">
        <v>167</v>
      </c>
    </row>
    <row r="31" spans="4:37">
      <c r="I31" s="229" t="s">
        <v>53</v>
      </c>
      <c r="S31" s="209"/>
      <c r="T31" s="217"/>
      <c r="U31" s="217"/>
      <c r="V31" s="215" t="s">
        <v>320</v>
      </c>
      <c r="W31" s="215"/>
      <c r="X31" s="215"/>
      <c r="Y31" s="215" t="s">
        <v>323</v>
      </c>
      <c r="Z31" s="215" t="s">
        <v>123</v>
      </c>
      <c r="AA31" s="217"/>
      <c r="AB31" s="218"/>
      <c r="AC31" s="218" t="s">
        <v>323</v>
      </c>
      <c r="AD31" s="213"/>
      <c r="AF31" s="215" t="s">
        <v>320</v>
      </c>
      <c r="AG31" s="215" t="s">
        <v>323</v>
      </c>
      <c r="AH31" s="215" t="s">
        <v>323</v>
      </c>
      <c r="AI31" s="215" t="s">
        <v>323</v>
      </c>
    </row>
    <row r="32" spans="4:37">
      <c r="I32" s="229" t="s">
        <v>53</v>
      </c>
      <c r="S32" s="209"/>
      <c r="T32" s="210">
        <v>100</v>
      </c>
      <c r="U32" s="210">
        <v>0</v>
      </c>
      <c r="V32" s="220" t="s">
        <v>462</v>
      </c>
      <c r="W32" s="220" t="s">
        <v>322</v>
      </c>
      <c r="X32" s="220" t="s">
        <v>322</v>
      </c>
      <c r="Y32" s="212">
        <f t="shared" ref="Y32:Y40" si="4">IF($Q$30=60,AG32,IF($Q$30=75,AH32,IF($Q$30=90,AI32)))</f>
        <v>65</v>
      </c>
      <c r="Z32" s="210">
        <v>5</v>
      </c>
      <c r="AA32" s="210">
        <v>100</v>
      </c>
      <c r="AB32" s="210">
        <v>2433</v>
      </c>
      <c r="AC32" s="213">
        <v>0.49099999999999999</v>
      </c>
      <c r="AD32" s="213"/>
      <c r="AF32" s="211" t="s">
        <v>322</v>
      </c>
      <c r="AG32" s="211">
        <v>55</v>
      </c>
      <c r="AH32" s="211">
        <v>65</v>
      </c>
      <c r="AI32" s="211">
        <v>75</v>
      </c>
    </row>
    <row r="33" spans="19:37">
      <c r="S33" s="209"/>
      <c r="T33" s="214">
        <v>101</v>
      </c>
      <c r="U33" s="214">
        <f t="shared" ref="U33:U41" si="5">Y32+0.0000001</f>
        <v>65.000000099999994</v>
      </c>
      <c r="V33" s="223" t="s">
        <v>465</v>
      </c>
      <c r="W33" s="223" t="s">
        <v>325</v>
      </c>
      <c r="X33" s="223" t="s">
        <v>322</v>
      </c>
      <c r="Y33" s="224">
        <f t="shared" si="4"/>
        <v>85</v>
      </c>
      <c r="Z33" s="214">
        <v>6</v>
      </c>
      <c r="AA33" s="214">
        <v>101</v>
      </c>
      <c r="AB33" s="214">
        <v>3838</v>
      </c>
      <c r="AC33" s="213">
        <v>0.308</v>
      </c>
      <c r="AD33" s="213"/>
      <c r="AF33" s="215" t="s">
        <v>325</v>
      </c>
      <c r="AG33" s="215">
        <v>70</v>
      </c>
      <c r="AH33" s="215">
        <v>85</v>
      </c>
      <c r="AI33" s="215">
        <v>95</v>
      </c>
    </row>
    <row r="34" spans="19:37">
      <c r="S34" s="209"/>
      <c r="T34" s="214">
        <v>102</v>
      </c>
      <c r="U34" s="214">
        <f t="shared" si="5"/>
        <v>85.000000099999994</v>
      </c>
      <c r="V34" s="223" t="s">
        <v>485</v>
      </c>
      <c r="W34" s="223" t="s">
        <v>327</v>
      </c>
      <c r="X34" s="223" t="s">
        <v>486</v>
      </c>
      <c r="Y34" s="224">
        <f t="shared" si="4"/>
        <v>100</v>
      </c>
      <c r="Z34" s="214">
        <v>7</v>
      </c>
      <c r="AA34" s="214">
        <v>102</v>
      </c>
      <c r="AB34" s="214">
        <v>4833</v>
      </c>
      <c r="AC34" s="213">
        <v>0.245</v>
      </c>
      <c r="AD34" s="213"/>
      <c r="AF34" s="215" t="s">
        <v>327</v>
      </c>
      <c r="AG34" s="215">
        <v>85</v>
      </c>
      <c r="AH34" s="215">
        <v>100</v>
      </c>
      <c r="AI34" s="215">
        <v>110</v>
      </c>
    </row>
    <row r="35" spans="19:37">
      <c r="S35" s="209"/>
      <c r="T35" s="214">
        <v>103</v>
      </c>
      <c r="U35" s="214">
        <f t="shared" si="5"/>
        <v>100.00000009999999</v>
      </c>
      <c r="V35" s="223" t="s">
        <v>467</v>
      </c>
      <c r="W35" s="223" t="s">
        <v>326</v>
      </c>
      <c r="X35" s="223" t="s">
        <v>325</v>
      </c>
      <c r="Y35" s="224">
        <f t="shared" si="4"/>
        <v>115</v>
      </c>
      <c r="Z35" s="214">
        <v>8</v>
      </c>
      <c r="AA35" s="214">
        <v>103</v>
      </c>
      <c r="AB35" s="214">
        <v>6087</v>
      </c>
      <c r="AC35" s="213">
        <v>0.19400000000000001</v>
      </c>
      <c r="AD35" s="213"/>
      <c r="AF35" s="215" t="s">
        <v>326</v>
      </c>
      <c r="AG35" s="215">
        <v>95</v>
      </c>
      <c r="AH35" s="215">
        <v>115</v>
      </c>
      <c r="AI35" s="215">
        <v>130</v>
      </c>
    </row>
    <row r="36" spans="19:37">
      <c r="S36" s="209"/>
      <c r="T36" s="214">
        <v>104</v>
      </c>
      <c r="U36" s="214">
        <f t="shared" si="5"/>
        <v>115.00000009999999</v>
      </c>
      <c r="V36" s="223" t="s">
        <v>469</v>
      </c>
      <c r="W36" s="223" t="s">
        <v>328</v>
      </c>
      <c r="X36" s="223" t="s">
        <v>327</v>
      </c>
      <c r="Y36" s="224">
        <f t="shared" si="4"/>
        <v>130</v>
      </c>
      <c r="Z36" s="214">
        <v>9</v>
      </c>
      <c r="AA36" s="214">
        <v>104</v>
      </c>
      <c r="AB36" s="214">
        <v>7579</v>
      </c>
      <c r="AC36" s="213">
        <v>0.154</v>
      </c>
      <c r="AD36" s="213"/>
      <c r="AF36" s="215" t="s">
        <v>328</v>
      </c>
      <c r="AG36" s="215">
        <v>110</v>
      </c>
      <c r="AH36" s="215">
        <v>130</v>
      </c>
      <c r="AI36" s="215">
        <v>150</v>
      </c>
    </row>
    <row r="37" spans="19:37">
      <c r="S37" s="209"/>
      <c r="T37" s="214">
        <v>105</v>
      </c>
      <c r="U37" s="214">
        <f t="shared" si="5"/>
        <v>130.00000009999999</v>
      </c>
      <c r="V37" s="223" t="s">
        <v>471</v>
      </c>
      <c r="W37" s="223" t="s">
        <v>329</v>
      </c>
      <c r="X37" s="223" t="s">
        <v>326</v>
      </c>
      <c r="Y37" s="224">
        <f t="shared" si="4"/>
        <v>150</v>
      </c>
      <c r="Z37" s="214">
        <v>10</v>
      </c>
      <c r="AA37" s="214">
        <v>105</v>
      </c>
      <c r="AB37" s="214">
        <v>9473</v>
      </c>
      <c r="AC37" s="213">
        <v>0.122</v>
      </c>
      <c r="AD37" s="213"/>
      <c r="AF37" s="215" t="s">
        <v>329</v>
      </c>
      <c r="AG37" s="215">
        <v>125</v>
      </c>
      <c r="AH37" s="215">
        <v>150</v>
      </c>
      <c r="AI37" s="215">
        <v>170</v>
      </c>
    </row>
    <row r="38" spans="19:37">
      <c r="S38" s="209"/>
      <c r="T38" s="214">
        <v>106</v>
      </c>
      <c r="U38" s="214">
        <f t="shared" si="5"/>
        <v>150.00000009999999</v>
      </c>
      <c r="V38" s="223" t="s">
        <v>472</v>
      </c>
      <c r="W38" s="223" t="s">
        <v>330</v>
      </c>
      <c r="X38" s="223" t="s">
        <v>328</v>
      </c>
      <c r="Y38" s="224">
        <f t="shared" si="4"/>
        <v>175</v>
      </c>
      <c r="Z38" s="214">
        <v>11</v>
      </c>
      <c r="AA38" s="214">
        <v>106</v>
      </c>
      <c r="AB38" s="214">
        <v>11703</v>
      </c>
      <c r="AC38" s="213">
        <v>9.6699999999999994E-2</v>
      </c>
      <c r="AD38" s="213"/>
      <c r="AF38" s="215" t="s">
        <v>330</v>
      </c>
      <c r="AG38" s="215">
        <v>145</v>
      </c>
      <c r="AH38" s="215">
        <v>175</v>
      </c>
      <c r="AI38" s="215">
        <v>195</v>
      </c>
    </row>
    <row r="39" spans="19:37">
      <c r="S39" s="209"/>
      <c r="T39" s="214">
        <v>107</v>
      </c>
      <c r="U39" s="214">
        <f t="shared" si="5"/>
        <v>175.00000009999999</v>
      </c>
      <c r="V39" s="223" t="s">
        <v>473</v>
      </c>
      <c r="W39" s="223" t="s">
        <v>333</v>
      </c>
      <c r="X39" s="223" t="s">
        <v>329</v>
      </c>
      <c r="Y39" s="224">
        <f t="shared" si="4"/>
        <v>200</v>
      </c>
      <c r="Z39" s="214">
        <v>12</v>
      </c>
      <c r="AA39" s="214">
        <v>107</v>
      </c>
      <c r="AB39" s="214">
        <v>14410</v>
      </c>
      <c r="AC39" s="213">
        <v>7.6600000000000001E-2</v>
      </c>
      <c r="AD39" s="213"/>
      <c r="AF39" s="215" t="s">
        <v>333</v>
      </c>
      <c r="AG39" s="215">
        <v>165</v>
      </c>
      <c r="AH39" s="215">
        <v>200</v>
      </c>
      <c r="AI39" s="215">
        <v>225</v>
      </c>
    </row>
    <row r="40" spans="19:37">
      <c r="S40" s="209"/>
      <c r="T40" s="214">
        <v>108</v>
      </c>
      <c r="U40" s="214">
        <f t="shared" si="5"/>
        <v>200.00000009999999</v>
      </c>
      <c r="V40" s="223" t="s">
        <v>474</v>
      </c>
      <c r="W40" s="223" t="s">
        <v>334</v>
      </c>
      <c r="X40" s="223" t="s">
        <v>330</v>
      </c>
      <c r="Y40" s="224">
        <f t="shared" si="4"/>
        <v>230</v>
      </c>
      <c r="Z40" s="214">
        <v>13</v>
      </c>
      <c r="AA40" s="214">
        <v>108</v>
      </c>
      <c r="AB40" s="214">
        <v>17483</v>
      </c>
      <c r="AC40" s="213">
        <v>6.08E-2</v>
      </c>
      <c r="AD40" s="213"/>
      <c r="AF40" s="218" t="s">
        <v>334</v>
      </c>
      <c r="AG40" s="218">
        <v>195</v>
      </c>
      <c r="AH40" s="218">
        <v>230</v>
      </c>
      <c r="AI40" s="218">
        <v>260</v>
      </c>
    </row>
    <row r="41" spans="19:37">
      <c r="S41" s="209"/>
      <c r="T41" s="217">
        <v>109</v>
      </c>
      <c r="U41" s="217">
        <f t="shared" si="5"/>
        <v>230.00000009999999</v>
      </c>
      <c r="V41" s="225" t="s">
        <v>475</v>
      </c>
      <c r="W41" s="225" t="s">
        <v>475</v>
      </c>
      <c r="X41" s="225" t="s">
        <v>475</v>
      </c>
      <c r="Y41" s="226">
        <f>Y40</f>
        <v>230</v>
      </c>
      <c r="Z41" s="217" t="s">
        <v>475</v>
      </c>
      <c r="AA41" s="217">
        <v>109</v>
      </c>
      <c r="AB41" s="227" t="s">
        <v>475</v>
      </c>
      <c r="AC41" s="227" t="s">
        <v>475</v>
      </c>
      <c r="AD41" s="213"/>
      <c r="AF41" s="200"/>
    </row>
    <row r="42" spans="19:37">
      <c r="S42" s="209"/>
      <c r="T42" s="200"/>
      <c r="U42" s="200"/>
      <c r="V42" s="230"/>
      <c r="W42" s="230"/>
      <c r="X42" s="230"/>
      <c r="Y42" s="200"/>
      <c r="Z42" s="200"/>
      <c r="AA42" s="200"/>
      <c r="AB42" s="200"/>
      <c r="AC42" s="200"/>
      <c r="AD42" s="213"/>
      <c r="AF42" s="200"/>
    </row>
    <row r="43" spans="19:37">
      <c r="S43" s="209"/>
      <c r="T43" s="200">
        <f>VLOOKUP(AA43,T32:AA41,1)</f>
        <v>108</v>
      </c>
      <c r="U43" s="200"/>
      <c r="V43" s="200" t="str">
        <f>VLOOKUP(Q29,U32:AB41,2)</f>
        <v>4/0-4/0-4/0-2/0</v>
      </c>
      <c r="W43" s="200" t="str">
        <f>VLOOKUP(Q29,U32:AB41,3)</f>
        <v>#4/0</v>
      </c>
      <c r="X43" s="200" t="str">
        <f>VLOOKUP(Q29,U32:AB41,4)</f>
        <v>#2/0</v>
      </c>
      <c r="Y43" s="200">
        <f>VLOOKUP(Q29,U32:AB41,5)</f>
        <v>230</v>
      </c>
      <c r="Z43" s="200">
        <f>VLOOKUP(Q29,U32:AB41,6)</f>
        <v>13</v>
      </c>
      <c r="AA43" s="200">
        <f>VLOOKUP(Q29,U32:AB41,7)</f>
        <v>108</v>
      </c>
      <c r="AB43" s="200">
        <f>VLOOKUP(Q29,U32:AB41,8)</f>
        <v>17483</v>
      </c>
      <c r="AC43" s="200">
        <f>VLOOKUP(Q29,U32:AC41,9)</f>
        <v>6.08E-2</v>
      </c>
      <c r="AD43" s="213"/>
      <c r="AF43" s="200"/>
    </row>
    <row r="44" spans="19:37">
      <c r="S44" s="209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13"/>
      <c r="AF44" s="200"/>
    </row>
    <row r="45" spans="19:37">
      <c r="S45" s="209"/>
      <c r="T45" s="200"/>
      <c r="U45" s="200"/>
      <c r="V45" s="200" t="s">
        <v>476</v>
      </c>
      <c r="W45" s="200"/>
      <c r="X45" s="200"/>
      <c r="Y45" s="200"/>
      <c r="Z45" s="200"/>
      <c r="AA45" s="200" t="str">
        <f>CONCATENATE(V45,W45,X45,Y45)</f>
        <v xml:space="preserve"> SER CABLE</v>
      </c>
      <c r="AB45" s="200"/>
      <c r="AC45" s="200"/>
      <c r="AD45" s="213"/>
      <c r="AF45" s="200"/>
    </row>
    <row r="46" spans="19:37">
      <c r="S46" s="209"/>
      <c r="T46" s="200"/>
      <c r="U46" s="200"/>
      <c r="V46" s="200" t="s">
        <v>477</v>
      </c>
      <c r="W46" s="200" t="str">
        <f>W43</f>
        <v>#4/0</v>
      </c>
      <c r="X46" s="200" t="s">
        <v>487</v>
      </c>
      <c r="Y46" s="200" t="s">
        <v>53</v>
      </c>
      <c r="Z46" s="200" t="s">
        <v>53</v>
      </c>
      <c r="AA46" s="200" t="str">
        <f>CONCATENATE(V46,W46,X46,Y46,Z46)</f>
        <v xml:space="preserve"> 3-#4/0 CU  </v>
      </c>
      <c r="AB46" s="200"/>
      <c r="AC46" s="200"/>
      <c r="AD46" s="213"/>
      <c r="AF46" s="200"/>
    </row>
    <row r="47" spans="19:37">
      <c r="S47" s="209"/>
      <c r="T47" s="200"/>
      <c r="U47" s="200"/>
      <c r="V47" s="200" t="s">
        <v>481</v>
      </c>
      <c r="W47" s="200" t="str">
        <f>X43</f>
        <v>#2/0</v>
      </c>
      <c r="X47" s="200" t="s">
        <v>412</v>
      </c>
      <c r="Y47" s="200"/>
      <c r="Z47" s="200"/>
      <c r="AA47" s="200" t="str">
        <f>CONCATENATE(V47,W47,X47,Y47,Z47)</f>
        <v xml:space="preserve"> 1-#2/0 GND</v>
      </c>
      <c r="AB47" s="200"/>
      <c r="AC47" s="200"/>
      <c r="AD47" s="213"/>
      <c r="AK47" s="207"/>
    </row>
    <row r="48" spans="19:37">
      <c r="S48" s="233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5"/>
    </row>
    <row r="52" spans="16:36">
      <c r="S52" s="200" t="s">
        <v>488</v>
      </c>
      <c r="T52" s="200"/>
      <c r="U52" s="200"/>
      <c r="V52" s="200"/>
      <c r="W52" s="200"/>
      <c r="X52" s="200"/>
      <c r="Y52" s="200"/>
      <c r="Z52" s="200"/>
      <c r="AA52" s="200"/>
      <c r="AB52" s="200"/>
      <c r="AC52" s="200"/>
    </row>
    <row r="53" spans="16:36">
      <c r="S53" s="203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F53" s="206" t="s">
        <v>318</v>
      </c>
      <c r="AG53" s="207"/>
      <c r="AH53" s="207"/>
      <c r="AI53" s="207"/>
      <c r="AJ53" s="207"/>
    </row>
    <row r="54" spans="16:36">
      <c r="P54" s="198" t="s">
        <v>167</v>
      </c>
      <c r="Q54" s="198">
        <f>B6</f>
        <v>218</v>
      </c>
      <c r="S54" s="209"/>
      <c r="T54" s="210" t="s">
        <v>455</v>
      </c>
      <c r="U54" s="210" t="s">
        <v>287</v>
      </c>
      <c r="V54" s="211" t="s">
        <v>314</v>
      </c>
      <c r="W54" s="211" t="s">
        <v>314</v>
      </c>
      <c r="X54" s="211" t="s">
        <v>293</v>
      </c>
      <c r="Y54" s="212" t="str">
        <f>IF($Q$55=60,AG54,IF($Q$55=75,AH54,IF($Q$55=90,AI54)))</f>
        <v>75 C</v>
      </c>
      <c r="Z54" s="211" t="s">
        <v>314</v>
      </c>
      <c r="AA54" s="210" t="s">
        <v>455</v>
      </c>
      <c r="AB54" s="211" t="s">
        <v>451</v>
      </c>
      <c r="AC54" s="211" t="s">
        <v>386</v>
      </c>
      <c r="AD54" s="213"/>
      <c r="AF54" s="211" t="s">
        <v>314</v>
      </c>
      <c r="AG54" s="211" t="s">
        <v>315</v>
      </c>
      <c r="AH54" s="211" t="s">
        <v>316</v>
      </c>
      <c r="AI54" s="211" t="s">
        <v>317</v>
      </c>
    </row>
    <row r="55" spans="16:36">
      <c r="P55" s="198" t="s">
        <v>489</v>
      </c>
      <c r="Q55" s="198">
        <f>B7</f>
        <v>75</v>
      </c>
      <c r="S55" s="209"/>
      <c r="T55" s="214" t="s">
        <v>457</v>
      </c>
      <c r="U55" s="214"/>
      <c r="V55" s="215" t="s">
        <v>108</v>
      </c>
      <c r="W55" s="215" t="s">
        <v>108</v>
      </c>
      <c r="X55" s="215" t="s">
        <v>108</v>
      </c>
      <c r="Y55" s="215" t="s">
        <v>167</v>
      </c>
      <c r="Z55" s="215" t="s">
        <v>108</v>
      </c>
      <c r="AA55" s="214" t="s">
        <v>457</v>
      </c>
      <c r="AB55" s="215" t="s">
        <v>453</v>
      </c>
      <c r="AC55" s="215" t="s">
        <v>389</v>
      </c>
      <c r="AD55" s="213"/>
      <c r="AF55" s="215" t="s">
        <v>108</v>
      </c>
      <c r="AG55" s="215" t="s">
        <v>167</v>
      </c>
      <c r="AH55" s="215" t="s">
        <v>167</v>
      </c>
      <c r="AI55" s="215" t="s">
        <v>167</v>
      </c>
    </row>
    <row r="56" spans="16:36">
      <c r="S56" s="209"/>
      <c r="T56" s="217"/>
      <c r="U56" s="217"/>
      <c r="V56" s="215" t="s">
        <v>320</v>
      </c>
      <c r="W56" s="215"/>
      <c r="X56" s="215"/>
      <c r="Y56" s="215" t="s">
        <v>324</v>
      </c>
      <c r="Z56" s="215" t="s">
        <v>123</v>
      </c>
      <c r="AA56" s="217"/>
      <c r="AB56" s="218"/>
      <c r="AC56" s="218" t="s">
        <v>324</v>
      </c>
      <c r="AD56" s="213"/>
      <c r="AF56" s="215" t="s">
        <v>320</v>
      </c>
      <c r="AG56" s="215" t="s">
        <v>324</v>
      </c>
      <c r="AH56" s="215" t="s">
        <v>324</v>
      </c>
      <c r="AI56" s="215" t="s">
        <v>324</v>
      </c>
    </row>
    <row r="57" spans="16:36">
      <c r="S57" s="209"/>
      <c r="T57" s="210">
        <v>100</v>
      </c>
      <c r="U57" s="210">
        <v>0</v>
      </c>
      <c r="V57" s="220" t="s">
        <v>490</v>
      </c>
      <c r="W57" s="220" t="s">
        <v>322</v>
      </c>
      <c r="X57" s="220" t="s">
        <v>322</v>
      </c>
      <c r="Y57" s="212">
        <f t="shared" ref="Y57:Y66" si="6">IF($Q$55=60,AG57,IF($Q$55=75,AH57,IF($Q$55=90,AI57)))</f>
        <v>50</v>
      </c>
      <c r="Z57" s="210">
        <v>5</v>
      </c>
      <c r="AA57" s="210">
        <v>100</v>
      </c>
      <c r="AB57" s="210">
        <v>1482</v>
      </c>
      <c r="AC57" s="213">
        <v>0.80800000000000005</v>
      </c>
      <c r="AD57" s="213"/>
      <c r="AF57" s="211" t="s">
        <v>322</v>
      </c>
      <c r="AG57" s="211">
        <v>40</v>
      </c>
      <c r="AH57" s="211">
        <v>50</v>
      </c>
      <c r="AI57" s="211">
        <v>60</v>
      </c>
    </row>
    <row r="58" spans="16:36">
      <c r="S58" s="209"/>
      <c r="T58" s="214">
        <v>101</v>
      </c>
      <c r="U58" s="214">
        <f t="shared" ref="U58:U67" si="7">Y57+0.0000001</f>
        <v>50.000000100000001</v>
      </c>
      <c r="V58" s="223" t="s">
        <v>491</v>
      </c>
      <c r="W58" s="223" t="s">
        <v>325</v>
      </c>
      <c r="X58" s="223" t="s">
        <v>322</v>
      </c>
      <c r="Y58" s="224">
        <f t="shared" si="6"/>
        <v>65</v>
      </c>
      <c r="Z58" s="214">
        <v>6</v>
      </c>
      <c r="AA58" s="214">
        <v>101</v>
      </c>
      <c r="AB58" s="214">
        <v>2353</v>
      </c>
      <c r="AC58" s="213">
        <v>0.50800000000000001</v>
      </c>
      <c r="AD58" s="213"/>
      <c r="AF58" s="215" t="s">
        <v>325</v>
      </c>
      <c r="AG58" s="215">
        <v>55</v>
      </c>
      <c r="AH58" s="215">
        <v>65</v>
      </c>
      <c r="AI58" s="215">
        <v>75</v>
      </c>
    </row>
    <row r="59" spans="16:36">
      <c r="S59" s="209"/>
      <c r="T59" s="214">
        <v>102</v>
      </c>
      <c r="U59" s="214">
        <f t="shared" si="7"/>
        <v>65.000000099999994</v>
      </c>
      <c r="V59" s="223" t="s">
        <v>492</v>
      </c>
      <c r="W59" s="223" t="s">
        <v>326</v>
      </c>
      <c r="X59" s="223" t="s">
        <v>325</v>
      </c>
      <c r="Y59" s="224">
        <f t="shared" si="6"/>
        <v>90</v>
      </c>
      <c r="Z59" s="214">
        <v>8</v>
      </c>
      <c r="AA59" s="214">
        <v>102</v>
      </c>
      <c r="AB59" s="214">
        <v>3740</v>
      </c>
      <c r="AC59" s="213">
        <v>0.31900000000000001</v>
      </c>
      <c r="AD59" s="213"/>
      <c r="AF59" s="215" t="s">
        <v>326</v>
      </c>
      <c r="AG59" s="215">
        <v>75</v>
      </c>
      <c r="AH59" s="215">
        <v>90</v>
      </c>
      <c r="AI59" s="215">
        <v>100</v>
      </c>
    </row>
    <row r="60" spans="16:36">
      <c r="S60" s="209"/>
      <c r="T60" s="214">
        <v>103</v>
      </c>
      <c r="U60" s="214">
        <f t="shared" si="7"/>
        <v>90.000000099999994</v>
      </c>
      <c r="V60" s="223" t="s">
        <v>493</v>
      </c>
      <c r="W60" s="223" t="s">
        <v>328</v>
      </c>
      <c r="X60" s="223" t="s">
        <v>327</v>
      </c>
      <c r="Y60" s="224">
        <f t="shared" si="6"/>
        <v>100</v>
      </c>
      <c r="Z60" s="214">
        <v>9</v>
      </c>
      <c r="AA60" s="214">
        <v>103</v>
      </c>
      <c r="AB60" s="214">
        <v>4699</v>
      </c>
      <c r="AC60" s="213">
        <v>0.253</v>
      </c>
      <c r="AD60" s="213"/>
      <c r="AF60" s="215" t="s">
        <v>328</v>
      </c>
      <c r="AG60" s="215">
        <v>85</v>
      </c>
      <c r="AH60" s="215">
        <v>100</v>
      </c>
      <c r="AI60" s="215">
        <v>115</v>
      </c>
    </row>
    <row r="61" spans="16:36">
      <c r="S61" s="209"/>
      <c r="T61" s="214">
        <v>104</v>
      </c>
      <c r="U61" s="214">
        <f t="shared" si="7"/>
        <v>100.00000009999999</v>
      </c>
      <c r="V61" s="223" t="s">
        <v>494</v>
      </c>
      <c r="W61" s="223" t="s">
        <v>329</v>
      </c>
      <c r="X61" s="223" t="s">
        <v>326</v>
      </c>
      <c r="Y61" s="224">
        <f t="shared" si="6"/>
        <v>120</v>
      </c>
      <c r="Z61" s="214">
        <v>10</v>
      </c>
      <c r="AA61" s="214">
        <v>104</v>
      </c>
      <c r="AB61" s="214">
        <v>5876</v>
      </c>
      <c r="AC61" s="213">
        <v>0.20100000000000001</v>
      </c>
      <c r="AD61" s="213"/>
      <c r="AF61" s="215" t="s">
        <v>329</v>
      </c>
      <c r="AG61" s="215">
        <v>100</v>
      </c>
      <c r="AH61" s="215">
        <v>120</v>
      </c>
      <c r="AI61" s="215">
        <v>135</v>
      </c>
    </row>
    <row r="62" spans="16:36">
      <c r="S62" s="209"/>
      <c r="T62" s="214">
        <v>105</v>
      </c>
      <c r="U62" s="214">
        <f t="shared" si="7"/>
        <v>120.00000009999999</v>
      </c>
      <c r="V62" s="223" t="s">
        <v>495</v>
      </c>
      <c r="W62" s="223" t="s">
        <v>330</v>
      </c>
      <c r="X62" s="223" t="s">
        <v>328</v>
      </c>
      <c r="Y62" s="224">
        <f t="shared" si="6"/>
        <v>135</v>
      </c>
      <c r="Z62" s="214">
        <v>11</v>
      </c>
      <c r="AA62" s="214">
        <v>105</v>
      </c>
      <c r="AB62" s="214">
        <v>7373</v>
      </c>
      <c r="AC62" s="213">
        <v>0.159</v>
      </c>
      <c r="AD62" s="213"/>
      <c r="AF62" s="215" t="s">
        <v>330</v>
      </c>
      <c r="AG62" s="215">
        <v>115</v>
      </c>
      <c r="AH62" s="215">
        <v>135</v>
      </c>
      <c r="AI62" s="215">
        <v>150</v>
      </c>
    </row>
    <row r="63" spans="16:36">
      <c r="S63" s="209"/>
      <c r="T63" s="214">
        <v>106</v>
      </c>
      <c r="U63" s="214">
        <f t="shared" si="7"/>
        <v>135.00000009999999</v>
      </c>
      <c r="V63" s="223" t="s">
        <v>496</v>
      </c>
      <c r="W63" s="223" t="s">
        <v>333</v>
      </c>
      <c r="X63" s="223" t="s">
        <v>329</v>
      </c>
      <c r="Y63" s="224">
        <f t="shared" si="6"/>
        <v>155</v>
      </c>
      <c r="Z63" s="214">
        <v>12</v>
      </c>
      <c r="AA63" s="214">
        <v>106</v>
      </c>
      <c r="AB63" s="214">
        <v>9243</v>
      </c>
      <c r="AC63" s="213">
        <v>0.126</v>
      </c>
      <c r="AD63" s="213"/>
      <c r="AF63" s="215" t="s">
        <v>333</v>
      </c>
      <c r="AG63" s="215">
        <v>130</v>
      </c>
      <c r="AH63" s="215">
        <v>155</v>
      </c>
      <c r="AI63" s="215">
        <v>175</v>
      </c>
    </row>
    <row r="64" spans="16:36">
      <c r="S64" s="209"/>
      <c r="T64" s="214">
        <v>107</v>
      </c>
      <c r="U64" s="214">
        <f t="shared" si="7"/>
        <v>155.00000009999999</v>
      </c>
      <c r="V64" s="223" t="s">
        <v>497</v>
      </c>
      <c r="W64" s="223" t="s">
        <v>334</v>
      </c>
      <c r="X64" s="223" t="s">
        <v>330</v>
      </c>
      <c r="Y64" s="224">
        <f t="shared" si="6"/>
        <v>180</v>
      </c>
      <c r="Z64" s="214">
        <v>13</v>
      </c>
      <c r="AA64" s="214">
        <v>107</v>
      </c>
      <c r="AB64" s="214">
        <v>11409</v>
      </c>
      <c r="AC64" s="213">
        <v>0.1</v>
      </c>
      <c r="AD64" s="213"/>
      <c r="AF64" s="215" t="s">
        <v>334</v>
      </c>
      <c r="AG64" s="215">
        <v>150</v>
      </c>
      <c r="AH64" s="215">
        <v>180</v>
      </c>
      <c r="AI64" s="215">
        <v>205</v>
      </c>
    </row>
    <row r="65" spans="19:36">
      <c r="S65" s="209"/>
      <c r="T65" s="214">
        <v>108</v>
      </c>
      <c r="U65" s="214">
        <f t="shared" si="7"/>
        <v>180.00000009999999</v>
      </c>
      <c r="V65" s="223" t="s">
        <v>498</v>
      </c>
      <c r="W65" s="223" t="s">
        <v>336</v>
      </c>
      <c r="X65" s="223" t="s">
        <v>333</v>
      </c>
      <c r="Y65" s="224">
        <f t="shared" si="6"/>
        <v>205</v>
      </c>
      <c r="Z65" s="214">
        <v>14</v>
      </c>
      <c r="AA65" s="214">
        <v>108</v>
      </c>
      <c r="AB65" s="214">
        <v>13236</v>
      </c>
      <c r="AC65" s="213">
        <v>8.4699999999999998E-2</v>
      </c>
      <c r="AD65" s="213"/>
      <c r="AF65" s="215" t="s">
        <v>336</v>
      </c>
      <c r="AG65" s="215">
        <v>170</v>
      </c>
      <c r="AH65" s="215">
        <v>205</v>
      </c>
      <c r="AI65" s="215">
        <v>230</v>
      </c>
    </row>
    <row r="66" spans="19:36">
      <c r="S66" s="209"/>
      <c r="T66" s="214">
        <v>109</v>
      </c>
      <c r="U66" s="214">
        <f t="shared" si="7"/>
        <v>205.00000009999999</v>
      </c>
      <c r="V66" s="223" t="s">
        <v>499</v>
      </c>
      <c r="W66" s="223" t="s">
        <v>337</v>
      </c>
      <c r="X66" s="223" t="s">
        <v>334</v>
      </c>
      <c r="Y66" s="224">
        <f t="shared" si="6"/>
        <v>230</v>
      </c>
      <c r="Z66" s="214">
        <v>15</v>
      </c>
      <c r="AA66" s="214">
        <v>109</v>
      </c>
      <c r="AB66" s="214">
        <v>15495</v>
      </c>
      <c r="AC66" s="213">
        <v>7.0699999999999999E-2</v>
      </c>
      <c r="AD66" s="213"/>
      <c r="AF66" s="218" t="s">
        <v>337</v>
      </c>
      <c r="AG66" s="218">
        <v>190</v>
      </c>
      <c r="AH66" s="218">
        <v>230</v>
      </c>
      <c r="AI66" s="218">
        <v>255</v>
      </c>
    </row>
    <row r="67" spans="19:36">
      <c r="S67" s="209"/>
      <c r="T67" s="217">
        <v>110</v>
      </c>
      <c r="U67" s="217">
        <f t="shared" si="7"/>
        <v>230.00000009999999</v>
      </c>
      <c r="V67" s="225" t="s">
        <v>475</v>
      </c>
      <c r="W67" s="225" t="s">
        <v>475</v>
      </c>
      <c r="X67" s="225" t="s">
        <v>475</v>
      </c>
      <c r="Y67" s="226">
        <f>Y66</f>
        <v>230</v>
      </c>
      <c r="Z67" s="217" t="s">
        <v>475</v>
      </c>
      <c r="AA67" s="217">
        <v>110</v>
      </c>
      <c r="AB67" s="227" t="s">
        <v>475</v>
      </c>
      <c r="AC67" s="227" t="s">
        <v>475</v>
      </c>
      <c r="AD67" s="213"/>
    </row>
    <row r="68" spans="19:36">
      <c r="S68" s="209"/>
      <c r="T68" s="200"/>
      <c r="U68" s="200"/>
      <c r="V68" s="230"/>
      <c r="W68" s="230"/>
      <c r="X68" s="230"/>
      <c r="Y68" s="200"/>
      <c r="Z68" s="200"/>
      <c r="AA68" s="200"/>
      <c r="AB68" s="200"/>
      <c r="AC68" s="200"/>
      <c r="AD68" s="213"/>
    </row>
    <row r="69" spans="19:36">
      <c r="S69" s="209"/>
      <c r="T69" s="200">
        <f>VLOOKUP(AA69,T57:AA67,1)</f>
        <v>109</v>
      </c>
      <c r="U69" s="200"/>
      <c r="V69" s="200" t="str">
        <f>VLOOKUP(Q54,U57:AB67,2)</f>
        <v>300-300-300-300-4/0</v>
      </c>
      <c r="W69" s="200" t="str">
        <f>VLOOKUP(Q54,U57:AB67,3)</f>
        <v>#300</v>
      </c>
      <c r="X69" s="200" t="str">
        <f>VLOOKUP(Q54,U57:AB67,4)</f>
        <v>#4/0</v>
      </c>
      <c r="Y69" s="200">
        <f>VLOOKUP(Q54,U57:AB67,5)</f>
        <v>230</v>
      </c>
      <c r="Z69" s="200">
        <f>VLOOKUP(Q54,U57:AB67,6)</f>
        <v>15</v>
      </c>
      <c r="AA69" s="200">
        <f>VLOOKUP(Q54,U57:AB67,7)</f>
        <v>109</v>
      </c>
      <c r="AB69" s="200">
        <f>VLOOKUP(Q54,U57:AB67,8)</f>
        <v>15495</v>
      </c>
      <c r="AC69" s="200">
        <f>VLOOKUP(Q54,U57:AC67,9)</f>
        <v>7.0699999999999999E-2</v>
      </c>
      <c r="AD69" s="213"/>
    </row>
    <row r="70" spans="19:36">
      <c r="S70" s="209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13"/>
    </row>
    <row r="71" spans="19:36">
      <c r="S71" s="209"/>
      <c r="T71" s="200"/>
      <c r="U71" s="200"/>
      <c r="V71" s="200" t="s">
        <v>476</v>
      </c>
      <c r="W71" s="200"/>
      <c r="X71" s="200"/>
      <c r="Y71" s="200"/>
      <c r="Z71" s="200"/>
      <c r="AA71" s="200" t="str">
        <f>CONCATENATE(V71,W71,X71,Y71)</f>
        <v xml:space="preserve"> SER CABLE</v>
      </c>
      <c r="AB71" s="200"/>
      <c r="AC71" s="200"/>
      <c r="AD71" s="213"/>
    </row>
    <row r="72" spans="19:36">
      <c r="S72" s="209"/>
      <c r="T72" s="200"/>
      <c r="U72" s="200"/>
      <c r="V72" s="200" t="s">
        <v>500</v>
      </c>
      <c r="W72" s="200" t="str">
        <f>W69</f>
        <v>#300</v>
      </c>
      <c r="X72" s="200" t="s">
        <v>478</v>
      </c>
      <c r="Y72" s="200" t="s">
        <v>53</v>
      </c>
      <c r="Z72" s="200" t="s">
        <v>53</v>
      </c>
      <c r="AA72" s="200" t="str">
        <f>CONCATENATE(V72,W72,X72,Y72,Z72)</f>
        <v xml:space="preserve"> 4-#300 AL  </v>
      </c>
      <c r="AB72" s="200"/>
      <c r="AC72" s="200"/>
      <c r="AD72" s="213"/>
    </row>
    <row r="73" spans="19:36">
      <c r="S73" s="209"/>
      <c r="T73" s="200"/>
      <c r="U73" s="200"/>
      <c r="V73" s="200" t="s">
        <v>481</v>
      </c>
      <c r="W73" s="200" t="str">
        <f>X69</f>
        <v>#4/0</v>
      </c>
      <c r="X73" s="200" t="s">
        <v>412</v>
      </c>
      <c r="Y73" s="200"/>
      <c r="Z73" s="200"/>
      <c r="AA73" s="200" t="str">
        <f>CONCATENATE(V73,W73,X73,Y73,Z73)</f>
        <v xml:space="preserve"> 1-#4/0 GND</v>
      </c>
      <c r="AB73" s="200"/>
      <c r="AC73" s="200"/>
      <c r="AD73" s="213"/>
    </row>
    <row r="74" spans="19:36">
      <c r="S74" s="233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5"/>
    </row>
    <row r="79" spans="19:36">
      <c r="AJ79" s="207"/>
    </row>
    <row r="80" spans="19:36">
      <c r="S80" s="200" t="s">
        <v>501</v>
      </c>
      <c r="T80" s="200"/>
      <c r="U80" s="200"/>
      <c r="V80" s="200"/>
      <c r="W80" s="200"/>
      <c r="X80" s="200"/>
      <c r="Y80" s="200"/>
      <c r="Z80" s="200"/>
      <c r="AA80" s="200"/>
      <c r="AB80" s="200"/>
      <c r="AC80" s="200"/>
    </row>
    <row r="81" spans="16:35">
      <c r="S81" s="203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5"/>
      <c r="AF81" s="206" t="s">
        <v>318</v>
      </c>
      <c r="AG81" s="207"/>
      <c r="AH81" s="207"/>
      <c r="AI81" s="207"/>
    </row>
    <row r="82" spans="16:35">
      <c r="P82" s="198" t="s">
        <v>167</v>
      </c>
      <c r="Q82" s="198">
        <f>B6</f>
        <v>218</v>
      </c>
      <c r="S82" s="209"/>
      <c r="T82" s="210" t="s">
        <v>455</v>
      </c>
      <c r="U82" s="210" t="s">
        <v>287</v>
      </c>
      <c r="V82" s="211" t="s">
        <v>314</v>
      </c>
      <c r="W82" s="211" t="s">
        <v>314</v>
      </c>
      <c r="X82" s="211" t="s">
        <v>293</v>
      </c>
      <c r="Y82" s="212" t="str">
        <f>IF($Q$83=60,AG82,IF($Q$83=75,AH82,IF($Q$83=90,AI82)))</f>
        <v>75 C</v>
      </c>
      <c r="Z82" s="211" t="s">
        <v>314</v>
      </c>
      <c r="AA82" s="210" t="s">
        <v>455</v>
      </c>
      <c r="AB82" s="211" t="s">
        <v>451</v>
      </c>
      <c r="AC82" s="211" t="s">
        <v>386</v>
      </c>
      <c r="AD82" s="213"/>
      <c r="AF82" s="211" t="s">
        <v>314</v>
      </c>
      <c r="AG82" s="211" t="s">
        <v>315</v>
      </c>
      <c r="AH82" s="211" t="s">
        <v>316</v>
      </c>
      <c r="AI82" s="211" t="s">
        <v>317</v>
      </c>
    </row>
    <row r="83" spans="16:35">
      <c r="P83" s="198" t="s">
        <v>489</v>
      </c>
      <c r="Q83" s="198">
        <f>B7</f>
        <v>75</v>
      </c>
      <c r="S83" s="209"/>
      <c r="T83" s="214" t="s">
        <v>457</v>
      </c>
      <c r="U83" s="214"/>
      <c r="V83" s="215" t="s">
        <v>108</v>
      </c>
      <c r="W83" s="215" t="s">
        <v>108</v>
      </c>
      <c r="X83" s="215" t="s">
        <v>108</v>
      </c>
      <c r="Y83" s="215" t="s">
        <v>167</v>
      </c>
      <c r="Z83" s="215" t="s">
        <v>108</v>
      </c>
      <c r="AA83" s="214" t="s">
        <v>457</v>
      </c>
      <c r="AB83" s="215" t="s">
        <v>453</v>
      </c>
      <c r="AC83" s="215" t="s">
        <v>389</v>
      </c>
      <c r="AD83" s="213"/>
      <c r="AF83" s="215" t="s">
        <v>108</v>
      </c>
      <c r="AG83" s="215" t="s">
        <v>167</v>
      </c>
      <c r="AH83" s="215" t="s">
        <v>167</v>
      </c>
      <c r="AI83" s="215" t="s">
        <v>167</v>
      </c>
    </row>
    <row r="84" spans="16:35">
      <c r="S84" s="209"/>
      <c r="T84" s="217"/>
      <c r="U84" s="217"/>
      <c r="V84" s="215" t="s">
        <v>320</v>
      </c>
      <c r="W84" s="215"/>
      <c r="X84" s="215"/>
      <c r="Y84" s="215" t="s">
        <v>324</v>
      </c>
      <c r="Z84" s="215" t="s">
        <v>123</v>
      </c>
      <c r="AA84" s="217"/>
      <c r="AB84" s="218"/>
      <c r="AC84" s="218" t="s">
        <v>323</v>
      </c>
      <c r="AD84" s="213"/>
      <c r="AF84" s="215" t="s">
        <v>320</v>
      </c>
      <c r="AG84" s="215" t="s">
        <v>323</v>
      </c>
      <c r="AH84" s="215" t="s">
        <v>323</v>
      </c>
      <c r="AI84" s="215" t="s">
        <v>323</v>
      </c>
    </row>
    <row r="85" spans="16:35">
      <c r="S85" s="209"/>
      <c r="T85" s="210">
        <v>100</v>
      </c>
      <c r="U85" s="210">
        <v>0</v>
      </c>
      <c r="V85" s="220" t="s">
        <v>462</v>
      </c>
      <c r="W85" s="220" t="s">
        <v>322</v>
      </c>
      <c r="X85" s="220" t="s">
        <v>379</v>
      </c>
      <c r="Y85" s="212">
        <f>IF($Q$83=60,AG85,IF($Q$83=75,AH85,IF($Q$83=90,AI85)))</f>
        <v>65</v>
      </c>
      <c r="Z85" s="210">
        <v>5</v>
      </c>
      <c r="AA85" s="210">
        <v>100</v>
      </c>
      <c r="AB85" s="210">
        <v>2433</v>
      </c>
      <c r="AC85" s="213">
        <v>0.49099999999999999</v>
      </c>
      <c r="AD85" s="213"/>
      <c r="AF85" s="211" t="s">
        <v>322</v>
      </c>
      <c r="AG85" s="211">
        <v>55</v>
      </c>
      <c r="AH85" s="211">
        <v>65</v>
      </c>
      <c r="AI85" s="211">
        <v>75</v>
      </c>
    </row>
    <row r="86" spans="16:35">
      <c r="S86" s="209"/>
      <c r="T86" s="214">
        <v>101</v>
      </c>
      <c r="U86" s="214">
        <f>Y85+0.0000001</f>
        <v>65.000000099999994</v>
      </c>
      <c r="V86" s="223" t="s">
        <v>502</v>
      </c>
      <c r="W86" s="223" t="s">
        <v>325</v>
      </c>
      <c r="X86" s="223" t="s">
        <v>382</v>
      </c>
      <c r="Y86" s="224">
        <f>IF($Q$83=60,AG86,IF($Q$83=75,AH86,IF($Q$83=90,AI86)))</f>
        <v>85</v>
      </c>
      <c r="Z86" s="214">
        <v>6</v>
      </c>
      <c r="AA86" s="214">
        <v>101</v>
      </c>
      <c r="AB86" s="214">
        <v>3838</v>
      </c>
      <c r="AC86" s="213">
        <v>0.308</v>
      </c>
      <c r="AD86" s="213"/>
      <c r="AF86" s="215" t="s">
        <v>325</v>
      </c>
      <c r="AG86" s="215">
        <v>70</v>
      </c>
      <c r="AH86" s="215">
        <v>85</v>
      </c>
      <c r="AI86" s="215">
        <v>95</v>
      </c>
    </row>
    <row r="87" spans="16:35">
      <c r="S87" s="209"/>
      <c r="T87" s="214">
        <v>102</v>
      </c>
      <c r="U87" s="214">
        <f>Y86+0.0000001</f>
        <v>85.000000099999994</v>
      </c>
      <c r="V87" s="223" t="s">
        <v>503</v>
      </c>
      <c r="W87" s="223" t="s">
        <v>326</v>
      </c>
      <c r="X87" s="223" t="s">
        <v>382</v>
      </c>
      <c r="Y87" s="224">
        <f>IF($Q$83=60,AG87,IF($Q$83=75,AH87,IF($Q$83=90,AI87)))</f>
        <v>115</v>
      </c>
      <c r="Z87" s="214">
        <v>7</v>
      </c>
      <c r="AA87" s="214">
        <v>102</v>
      </c>
      <c r="AB87" s="214">
        <v>4833</v>
      </c>
      <c r="AC87" s="213">
        <v>0.19400000000000001</v>
      </c>
      <c r="AD87" s="213"/>
      <c r="AF87" s="218" t="s">
        <v>326</v>
      </c>
      <c r="AG87" s="218">
        <v>95</v>
      </c>
      <c r="AH87" s="218">
        <v>115</v>
      </c>
      <c r="AI87" s="218">
        <v>130</v>
      </c>
    </row>
    <row r="88" spans="16:35">
      <c r="S88" s="209"/>
      <c r="T88" s="217">
        <v>103</v>
      </c>
      <c r="U88" s="217">
        <f>Y87+0.0000001</f>
        <v>115.00000009999999</v>
      </c>
      <c r="V88" s="225" t="s">
        <v>475</v>
      </c>
      <c r="W88" s="225" t="s">
        <v>475</v>
      </c>
      <c r="X88" s="225" t="s">
        <v>475</v>
      </c>
      <c r="Y88" s="226">
        <f>Y87</f>
        <v>115</v>
      </c>
      <c r="Z88" s="217" t="s">
        <v>475</v>
      </c>
      <c r="AA88" s="217">
        <v>103</v>
      </c>
      <c r="AB88" s="227" t="s">
        <v>475</v>
      </c>
      <c r="AC88" s="227" t="s">
        <v>475</v>
      </c>
      <c r="AD88" s="213"/>
    </row>
    <row r="89" spans="16:35">
      <c r="S89" s="209"/>
      <c r="T89" s="200"/>
      <c r="U89" s="200"/>
      <c r="V89" s="230"/>
      <c r="W89" s="230"/>
      <c r="X89" s="230"/>
      <c r="Y89" s="200"/>
      <c r="Z89" s="200"/>
      <c r="AA89" s="200"/>
      <c r="AB89" s="200"/>
      <c r="AC89" s="200"/>
      <c r="AD89" s="213"/>
    </row>
    <row r="90" spans="16:35">
      <c r="S90" s="209"/>
      <c r="T90" s="200">
        <f>VLOOKUP(AA90,T85:AA88,1)</f>
        <v>103</v>
      </c>
      <c r="U90" s="200"/>
      <c r="V90" s="200" t="str">
        <f>VLOOKUP(Q82,U85:AB88,2)</f>
        <v>EXCEED</v>
      </c>
      <c r="W90" s="200" t="str">
        <f>VLOOKUP(Q82,U85:AB88,3)</f>
        <v>EXCEED</v>
      </c>
      <c r="X90" s="200" t="str">
        <f>VLOOKUP(Q82,U85:AB88,4)</f>
        <v>EXCEED</v>
      </c>
      <c r="Y90" s="200">
        <f>VLOOKUP(Q82,U85:AB88,5)</f>
        <v>115</v>
      </c>
      <c r="Z90" s="200" t="str">
        <f>VLOOKUP(Q82,U85:AB88,6)</f>
        <v>EXCEED</v>
      </c>
      <c r="AA90" s="200">
        <f>VLOOKUP(Q82,U85:AB88,7)</f>
        <v>103</v>
      </c>
      <c r="AB90" s="200" t="str">
        <f>VLOOKUP(Q82,U85:AB88,8)</f>
        <v>EXCEED</v>
      </c>
      <c r="AC90" s="200" t="str">
        <f>VLOOKUP(Q82,U85:AC88,9)</f>
        <v>EXCEED</v>
      </c>
      <c r="AD90" s="213"/>
    </row>
    <row r="91" spans="16:35">
      <c r="S91" s="209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13"/>
    </row>
    <row r="92" spans="16:35">
      <c r="S92" s="209"/>
      <c r="T92" s="200"/>
      <c r="U92" s="200"/>
      <c r="V92" s="200" t="s">
        <v>504</v>
      </c>
      <c r="W92" s="200"/>
      <c r="X92" s="200"/>
      <c r="Y92" s="200"/>
      <c r="Z92" s="200"/>
      <c r="AA92" s="200" t="str">
        <f>CONCATENATE(V92,W92,X92,Y92)</f>
        <v xml:space="preserve"> ROMEX</v>
      </c>
      <c r="AB92" s="200"/>
      <c r="AC92" s="200"/>
      <c r="AD92" s="213"/>
    </row>
    <row r="93" spans="16:35">
      <c r="S93" s="209"/>
      <c r="T93" s="200"/>
      <c r="U93" s="200"/>
      <c r="V93" s="200" t="s">
        <v>477</v>
      </c>
      <c r="W93" s="200" t="str">
        <f>W90</f>
        <v>EXCEED</v>
      </c>
      <c r="X93" s="200" t="s">
        <v>487</v>
      </c>
      <c r="Y93" s="200" t="s">
        <v>53</v>
      </c>
      <c r="Z93" s="200" t="s">
        <v>53</v>
      </c>
      <c r="AA93" s="200" t="str">
        <f>CONCATENATE(V93,W93,X93,Y93,Z93)</f>
        <v xml:space="preserve"> 3-EXCEED CU  </v>
      </c>
      <c r="AB93" s="200"/>
      <c r="AC93" s="200"/>
      <c r="AD93" s="213"/>
    </row>
    <row r="94" spans="16:35">
      <c r="S94" s="209"/>
      <c r="T94" s="200"/>
      <c r="U94" s="200"/>
      <c r="V94" s="200" t="s">
        <v>481</v>
      </c>
      <c r="W94" s="200" t="str">
        <f>X90</f>
        <v>EXCEED</v>
      </c>
      <c r="X94" s="200" t="s">
        <v>412</v>
      </c>
      <c r="Y94" s="200"/>
      <c r="Z94" s="200"/>
      <c r="AA94" s="200" t="str">
        <f>CONCATENATE(V94,W94,X94,Y94,Z94)</f>
        <v xml:space="preserve"> 1-EXCEED GND</v>
      </c>
      <c r="AB94" s="200"/>
      <c r="AC94" s="200"/>
      <c r="AD94" s="213"/>
    </row>
    <row r="95" spans="16:35">
      <c r="S95" s="233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5"/>
    </row>
    <row r="97" spans="16:36">
      <c r="X97" s="200"/>
    </row>
    <row r="98" spans="16:36">
      <c r="X98" s="200"/>
    </row>
    <row r="99" spans="16:36">
      <c r="X99" s="201"/>
      <c r="AJ99" s="207"/>
    </row>
    <row r="100" spans="16:36">
      <c r="S100" s="200" t="s">
        <v>505</v>
      </c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</row>
    <row r="101" spans="16:36">
      <c r="S101" s="203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5"/>
      <c r="AF101" s="206" t="s">
        <v>318</v>
      </c>
      <c r="AG101" s="207"/>
      <c r="AH101" s="207"/>
      <c r="AI101" s="207"/>
    </row>
    <row r="102" spans="16:36">
      <c r="P102" s="198" t="s">
        <v>167</v>
      </c>
      <c r="Q102" s="198">
        <f>B6</f>
        <v>218</v>
      </c>
      <c r="S102" s="209"/>
      <c r="T102" s="210" t="s">
        <v>455</v>
      </c>
      <c r="U102" s="210" t="s">
        <v>287</v>
      </c>
      <c r="V102" s="211" t="s">
        <v>314</v>
      </c>
      <c r="W102" s="211" t="s">
        <v>314</v>
      </c>
      <c r="X102" s="211" t="s">
        <v>293</v>
      </c>
      <c r="Y102" s="212" t="str">
        <f>IF($Q$103=60,AG102,IF($Q$103=75,AH102,IF($Q$103=90,AI102)))</f>
        <v>75 C</v>
      </c>
      <c r="Z102" s="211" t="s">
        <v>314</v>
      </c>
      <c r="AA102" s="210" t="s">
        <v>455</v>
      </c>
      <c r="AB102" s="211" t="s">
        <v>451</v>
      </c>
      <c r="AC102" s="211" t="s">
        <v>386</v>
      </c>
      <c r="AD102" s="213"/>
      <c r="AF102" s="211" t="s">
        <v>314</v>
      </c>
      <c r="AG102" s="211" t="s">
        <v>315</v>
      </c>
      <c r="AH102" s="211" t="s">
        <v>316</v>
      </c>
      <c r="AI102" s="211" t="s">
        <v>317</v>
      </c>
    </row>
    <row r="103" spans="16:36">
      <c r="P103" s="198" t="s">
        <v>489</v>
      </c>
      <c r="Q103" s="198">
        <f>B7</f>
        <v>75</v>
      </c>
      <c r="S103" s="209"/>
      <c r="T103" s="214" t="s">
        <v>457</v>
      </c>
      <c r="U103" s="214"/>
      <c r="V103" s="215" t="s">
        <v>108</v>
      </c>
      <c r="W103" s="215" t="s">
        <v>108</v>
      </c>
      <c r="X103" s="215" t="s">
        <v>108</v>
      </c>
      <c r="Y103" s="215" t="s">
        <v>167</v>
      </c>
      <c r="Z103" s="215" t="s">
        <v>108</v>
      </c>
      <c r="AA103" s="214" t="s">
        <v>457</v>
      </c>
      <c r="AB103" s="215" t="s">
        <v>453</v>
      </c>
      <c r="AC103" s="215" t="s">
        <v>389</v>
      </c>
      <c r="AD103" s="213"/>
      <c r="AF103" s="215" t="s">
        <v>108</v>
      </c>
      <c r="AG103" s="215" t="s">
        <v>167</v>
      </c>
      <c r="AH103" s="215" t="s">
        <v>167</v>
      </c>
      <c r="AI103" s="215" t="s">
        <v>167</v>
      </c>
    </row>
    <row r="104" spans="16:36">
      <c r="S104" s="209"/>
      <c r="T104" s="217"/>
      <c r="U104" s="217"/>
      <c r="V104" s="215" t="s">
        <v>320</v>
      </c>
      <c r="W104" s="215"/>
      <c r="X104" s="215"/>
      <c r="Y104" s="215" t="s">
        <v>324</v>
      </c>
      <c r="Z104" s="215" t="s">
        <v>123</v>
      </c>
      <c r="AA104" s="217"/>
      <c r="AB104" s="218"/>
      <c r="AC104" s="218" t="s">
        <v>324</v>
      </c>
      <c r="AD104" s="213"/>
      <c r="AF104" s="215" t="s">
        <v>320</v>
      </c>
      <c r="AG104" s="215" t="s">
        <v>324</v>
      </c>
      <c r="AH104" s="215" t="s">
        <v>324</v>
      </c>
      <c r="AI104" s="215" t="s">
        <v>324</v>
      </c>
    </row>
    <row r="105" spans="16:36">
      <c r="S105" s="209"/>
      <c r="T105" s="210">
        <v>100</v>
      </c>
      <c r="U105" s="210">
        <v>0</v>
      </c>
      <c r="V105" s="220" t="s">
        <v>462</v>
      </c>
      <c r="W105" s="220" t="s">
        <v>322</v>
      </c>
      <c r="X105" s="220" t="s">
        <v>322</v>
      </c>
      <c r="Y105" s="212">
        <f t="shared" ref="Y105:Y114" si="8">IF($Q$103=60,AG105,IF($Q$103=75,AH105,IF($Q$103=90,AI105)))</f>
        <v>50</v>
      </c>
      <c r="Z105" s="210">
        <v>5</v>
      </c>
      <c r="AA105" s="210">
        <v>100</v>
      </c>
      <c r="AB105" s="210">
        <v>1482</v>
      </c>
      <c r="AC105" s="213">
        <v>0.80800000000000005</v>
      </c>
      <c r="AD105" s="213"/>
      <c r="AF105" s="211" t="s">
        <v>322</v>
      </c>
      <c r="AG105" s="211">
        <v>40</v>
      </c>
      <c r="AH105" s="211">
        <v>50</v>
      </c>
      <c r="AI105" s="211">
        <v>60</v>
      </c>
    </row>
    <row r="106" spans="16:36">
      <c r="S106" s="209"/>
      <c r="T106" s="214">
        <v>101</v>
      </c>
      <c r="U106" s="214">
        <f t="shared" ref="U106:U115" si="9">Y105+0.0000001</f>
        <v>50.000000100000001</v>
      </c>
      <c r="V106" s="223" t="s">
        <v>465</v>
      </c>
      <c r="W106" s="223" t="s">
        <v>325</v>
      </c>
      <c r="X106" s="223" t="s">
        <v>322</v>
      </c>
      <c r="Y106" s="224">
        <f t="shared" si="8"/>
        <v>65</v>
      </c>
      <c r="Z106" s="214">
        <v>6</v>
      </c>
      <c r="AA106" s="214">
        <v>101</v>
      </c>
      <c r="AB106" s="214">
        <v>2353</v>
      </c>
      <c r="AC106" s="213">
        <v>0.50800000000000001</v>
      </c>
      <c r="AD106" s="213"/>
      <c r="AF106" s="215" t="s">
        <v>325</v>
      </c>
      <c r="AG106" s="215">
        <v>55</v>
      </c>
      <c r="AH106" s="215">
        <v>65</v>
      </c>
      <c r="AI106" s="215">
        <v>75</v>
      </c>
    </row>
    <row r="107" spans="16:36">
      <c r="S107" s="209"/>
      <c r="T107" s="214">
        <v>102</v>
      </c>
      <c r="U107" s="214">
        <f t="shared" si="9"/>
        <v>65.000000099999994</v>
      </c>
      <c r="V107" s="223" t="s">
        <v>467</v>
      </c>
      <c r="W107" s="223" t="s">
        <v>326</v>
      </c>
      <c r="X107" s="223" t="s">
        <v>325</v>
      </c>
      <c r="Y107" s="224">
        <f t="shared" si="8"/>
        <v>90</v>
      </c>
      <c r="Z107" s="214">
        <v>8</v>
      </c>
      <c r="AA107" s="214">
        <v>102</v>
      </c>
      <c r="AB107" s="214">
        <v>3734</v>
      </c>
      <c r="AC107" s="213">
        <v>0.31900000000000001</v>
      </c>
      <c r="AD107" s="213"/>
      <c r="AF107" s="215" t="s">
        <v>326</v>
      </c>
      <c r="AG107" s="215">
        <v>75</v>
      </c>
      <c r="AH107" s="215">
        <v>90</v>
      </c>
      <c r="AI107" s="215">
        <v>100</v>
      </c>
    </row>
    <row r="108" spans="16:36">
      <c r="S108" s="209"/>
      <c r="T108" s="214">
        <v>103</v>
      </c>
      <c r="U108" s="214">
        <f t="shared" si="9"/>
        <v>90.000000099999994</v>
      </c>
      <c r="V108" s="223" t="s">
        <v>506</v>
      </c>
      <c r="W108" s="223" t="s">
        <v>328</v>
      </c>
      <c r="X108" s="223" t="s">
        <v>325</v>
      </c>
      <c r="Y108" s="224">
        <f t="shared" si="8"/>
        <v>100</v>
      </c>
      <c r="Z108" s="214">
        <v>9</v>
      </c>
      <c r="AA108" s="214">
        <v>103</v>
      </c>
      <c r="AB108" s="214">
        <v>4686</v>
      </c>
      <c r="AC108" s="213">
        <v>0.253</v>
      </c>
      <c r="AD108" s="213"/>
      <c r="AF108" s="215" t="s">
        <v>328</v>
      </c>
      <c r="AG108" s="215">
        <v>85</v>
      </c>
      <c r="AH108" s="215">
        <v>100</v>
      </c>
      <c r="AI108" s="215">
        <v>115</v>
      </c>
    </row>
    <row r="109" spans="16:36">
      <c r="S109" s="209"/>
      <c r="T109" s="214">
        <v>104</v>
      </c>
      <c r="U109" s="214">
        <f t="shared" si="9"/>
        <v>100.00000009999999</v>
      </c>
      <c r="V109" s="223" t="s">
        <v>507</v>
      </c>
      <c r="W109" s="223" t="s">
        <v>329</v>
      </c>
      <c r="X109" s="223" t="s">
        <v>325</v>
      </c>
      <c r="Y109" s="224">
        <f t="shared" si="8"/>
        <v>120</v>
      </c>
      <c r="Z109" s="214">
        <v>10</v>
      </c>
      <c r="AA109" s="214">
        <v>104</v>
      </c>
      <c r="AB109" s="214">
        <v>5852</v>
      </c>
      <c r="AC109" s="213">
        <v>0.20100000000000001</v>
      </c>
      <c r="AD109" s="213"/>
      <c r="AF109" s="215" t="s">
        <v>329</v>
      </c>
      <c r="AG109" s="215">
        <v>100</v>
      </c>
      <c r="AH109" s="215">
        <v>120</v>
      </c>
      <c r="AI109" s="215">
        <v>135</v>
      </c>
    </row>
    <row r="110" spans="16:36">
      <c r="S110" s="209"/>
      <c r="T110" s="214">
        <v>105</v>
      </c>
      <c r="U110" s="214">
        <f t="shared" si="9"/>
        <v>120.00000009999999</v>
      </c>
      <c r="V110" s="223" t="s">
        <v>508</v>
      </c>
      <c r="W110" s="223" t="s">
        <v>330</v>
      </c>
      <c r="X110" s="223" t="s">
        <v>325</v>
      </c>
      <c r="Y110" s="224">
        <f t="shared" si="8"/>
        <v>135</v>
      </c>
      <c r="Z110" s="214">
        <v>11</v>
      </c>
      <c r="AA110" s="214">
        <v>105</v>
      </c>
      <c r="AB110" s="214">
        <v>7327</v>
      </c>
      <c r="AC110" s="213">
        <v>0.159</v>
      </c>
      <c r="AD110" s="213"/>
      <c r="AF110" s="215" t="s">
        <v>330</v>
      </c>
      <c r="AG110" s="215">
        <v>115</v>
      </c>
      <c r="AH110" s="215">
        <v>135</v>
      </c>
      <c r="AI110" s="215">
        <v>150</v>
      </c>
    </row>
    <row r="111" spans="16:36">
      <c r="S111" s="209"/>
      <c r="T111" s="214">
        <v>106</v>
      </c>
      <c r="U111" s="214">
        <f t="shared" si="9"/>
        <v>135.00000009999999</v>
      </c>
      <c r="V111" s="223" t="s">
        <v>509</v>
      </c>
      <c r="W111" s="223" t="s">
        <v>333</v>
      </c>
      <c r="X111" s="223" t="s">
        <v>325</v>
      </c>
      <c r="Y111" s="224">
        <f t="shared" si="8"/>
        <v>155</v>
      </c>
      <c r="Z111" s="214">
        <v>12</v>
      </c>
      <c r="AA111" s="214">
        <v>106</v>
      </c>
      <c r="AB111" s="214">
        <v>9077</v>
      </c>
      <c r="AC111" s="213">
        <v>0.126</v>
      </c>
      <c r="AD111" s="213"/>
      <c r="AF111" s="215" t="s">
        <v>333</v>
      </c>
      <c r="AG111" s="215">
        <v>130</v>
      </c>
      <c r="AH111" s="215">
        <v>155</v>
      </c>
      <c r="AI111" s="215">
        <v>175</v>
      </c>
    </row>
    <row r="112" spans="16:36">
      <c r="S112" s="209"/>
      <c r="T112" s="214">
        <v>107</v>
      </c>
      <c r="U112" s="214">
        <f t="shared" si="9"/>
        <v>155.00000009999999</v>
      </c>
      <c r="V112" s="223" t="s">
        <v>510</v>
      </c>
      <c r="W112" s="223" t="s">
        <v>334</v>
      </c>
      <c r="X112" s="223" t="s">
        <v>326</v>
      </c>
      <c r="Y112" s="224">
        <f t="shared" si="8"/>
        <v>180</v>
      </c>
      <c r="Z112" s="214">
        <v>13</v>
      </c>
      <c r="AA112" s="214">
        <v>107</v>
      </c>
      <c r="AB112" s="214">
        <v>11185</v>
      </c>
      <c r="AC112" s="213">
        <v>0.1</v>
      </c>
      <c r="AD112" s="213"/>
      <c r="AF112" s="215" t="s">
        <v>334</v>
      </c>
      <c r="AG112" s="215">
        <v>150</v>
      </c>
      <c r="AH112" s="215">
        <v>180</v>
      </c>
      <c r="AI112" s="215">
        <v>205</v>
      </c>
    </row>
    <row r="113" spans="19:36">
      <c r="S113" s="209"/>
      <c r="T113" s="214">
        <v>108</v>
      </c>
      <c r="U113" s="214">
        <f t="shared" si="9"/>
        <v>180.00000009999999</v>
      </c>
      <c r="V113" s="223" t="s">
        <v>511</v>
      </c>
      <c r="W113" s="223" t="s">
        <v>336</v>
      </c>
      <c r="X113" s="223" t="s">
        <v>326</v>
      </c>
      <c r="Y113" s="224">
        <f t="shared" si="8"/>
        <v>205</v>
      </c>
      <c r="Z113" s="214">
        <v>14</v>
      </c>
      <c r="AA113" s="214">
        <v>108</v>
      </c>
      <c r="AB113" s="214">
        <v>12797</v>
      </c>
      <c r="AC113" s="213">
        <v>8.4699999999999998E-2</v>
      </c>
      <c r="AD113" s="213"/>
      <c r="AF113" s="215" t="s">
        <v>336</v>
      </c>
      <c r="AG113" s="215">
        <v>170</v>
      </c>
      <c r="AH113" s="215">
        <v>205</v>
      </c>
      <c r="AI113" s="215">
        <v>230</v>
      </c>
    </row>
    <row r="114" spans="19:36">
      <c r="S114" s="209"/>
      <c r="T114" s="214">
        <v>109</v>
      </c>
      <c r="U114" s="214">
        <f t="shared" si="9"/>
        <v>205.00000009999999</v>
      </c>
      <c r="V114" s="223" t="s">
        <v>512</v>
      </c>
      <c r="W114" s="223" t="s">
        <v>337</v>
      </c>
      <c r="X114" s="223" t="s">
        <v>328</v>
      </c>
      <c r="Y114" s="224">
        <f t="shared" si="8"/>
        <v>250</v>
      </c>
      <c r="Z114" s="214">
        <v>16</v>
      </c>
      <c r="AA114" s="214">
        <v>109</v>
      </c>
      <c r="AB114" s="214">
        <v>16795</v>
      </c>
      <c r="AC114" s="213">
        <v>6.0499999999999998E-2</v>
      </c>
      <c r="AD114" s="213"/>
      <c r="AF114" s="218" t="s">
        <v>339</v>
      </c>
      <c r="AG114" s="218">
        <v>210</v>
      </c>
      <c r="AH114" s="218">
        <v>250</v>
      </c>
      <c r="AI114" s="218">
        <v>280</v>
      </c>
    </row>
    <row r="115" spans="19:36">
      <c r="S115" s="209"/>
      <c r="T115" s="217">
        <v>110</v>
      </c>
      <c r="U115" s="217">
        <f t="shared" si="9"/>
        <v>250.00000009999999</v>
      </c>
      <c r="V115" s="225" t="s">
        <v>475</v>
      </c>
      <c r="W115" s="225" t="s">
        <v>475</v>
      </c>
      <c r="X115" s="225" t="s">
        <v>475</v>
      </c>
      <c r="Y115" s="226">
        <f>Y114</f>
        <v>250</v>
      </c>
      <c r="Z115" s="217" t="s">
        <v>475</v>
      </c>
      <c r="AA115" s="217">
        <v>110</v>
      </c>
      <c r="AB115" s="227" t="s">
        <v>475</v>
      </c>
      <c r="AC115" s="227" t="s">
        <v>475</v>
      </c>
      <c r="AD115" s="213"/>
    </row>
    <row r="116" spans="19:36">
      <c r="S116" s="209"/>
      <c r="T116" s="200"/>
      <c r="U116" s="200"/>
      <c r="V116" s="230"/>
      <c r="W116" s="230"/>
      <c r="X116" s="230"/>
      <c r="Y116" s="200"/>
      <c r="Z116" s="200"/>
      <c r="AA116" s="200"/>
      <c r="AB116" s="200"/>
      <c r="AC116" s="200"/>
      <c r="AD116" s="213"/>
    </row>
    <row r="117" spans="19:36">
      <c r="S117" s="209"/>
      <c r="T117" s="200">
        <f>VLOOKUP(AA117,T105:AA115,1)</f>
        <v>109</v>
      </c>
      <c r="U117" s="200"/>
      <c r="V117" s="200" t="str">
        <f>VLOOKUP(Q102,U105:AB115,2)</f>
        <v>350-350-350-1</v>
      </c>
      <c r="W117" s="200" t="str">
        <f>VLOOKUP(Q102,U105:AB115,3)</f>
        <v>#300</v>
      </c>
      <c r="X117" s="200" t="str">
        <f>VLOOKUP(Q102,U105:AB115,4)</f>
        <v>#1</v>
      </c>
      <c r="Y117" s="200">
        <f>VLOOKUP(Q102,U105:AB115,5)</f>
        <v>250</v>
      </c>
      <c r="Z117" s="200">
        <f>VLOOKUP(Q102,U105:AB115,6)</f>
        <v>16</v>
      </c>
      <c r="AA117" s="200">
        <f>VLOOKUP(Q102,U105:AB115,7)</f>
        <v>109</v>
      </c>
      <c r="AB117" s="200">
        <f>VLOOKUP(Q102,U105:AB115,8)</f>
        <v>16795</v>
      </c>
      <c r="AC117" s="200">
        <f>VLOOKUP(Q102,U105:AC115,9)</f>
        <v>6.0499999999999998E-2</v>
      </c>
      <c r="AD117" s="213"/>
    </row>
    <row r="118" spans="19:36">
      <c r="S118" s="209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13"/>
    </row>
    <row r="119" spans="19:36">
      <c r="S119" s="209"/>
      <c r="T119" s="200"/>
      <c r="U119" s="200"/>
      <c r="V119" s="200" t="s">
        <v>513</v>
      </c>
      <c r="W119" s="200"/>
      <c r="X119" s="200"/>
      <c r="Y119" s="200"/>
      <c r="Z119" s="200"/>
      <c r="AA119" s="200" t="str">
        <f>CONCATENATE(V119,W119,X119,Y119)</f>
        <v xml:space="preserve"> MC CABLE</v>
      </c>
      <c r="AB119" s="200"/>
      <c r="AC119" s="200"/>
      <c r="AD119" s="213"/>
    </row>
    <row r="120" spans="19:36">
      <c r="S120" s="209"/>
      <c r="T120" s="200"/>
      <c r="U120" s="200"/>
      <c r="V120" s="200" t="s">
        <v>477</v>
      </c>
      <c r="W120" s="200" t="str">
        <f>W117</f>
        <v>#300</v>
      </c>
      <c r="X120" s="200" t="s">
        <v>478</v>
      </c>
      <c r="Y120" s="200" t="s">
        <v>53</v>
      </c>
      <c r="Z120" s="200" t="s">
        <v>53</v>
      </c>
      <c r="AA120" s="200" t="str">
        <f>CONCATENATE(V120,W120,X120,Y120,Z120)</f>
        <v xml:space="preserve"> 3-#300 AL  </v>
      </c>
      <c r="AB120" s="200"/>
      <c r="AC120" s="200"/>
      <c r="AD120" s="213"/>
    </row>
    <row r="121" spans="19:36">
      <c r="S121" s="209"/>
      <c r="T121" s="200"/>
      <c r="U121" s="200"/>
      <c r="V121" s="200" t="s">
        <v>481</v>
      </c>
      <c r="W121" s="200" t="str">
        <f>X117</f>
        <v>#1</v>
      </c>
      <c r="X121" s="200" t="s">
        <v>412</v>
      </c>
      <c r="Y121" s="200"/>
      <c r="Z121" s="200"/>
      <c r="AA121" s="200" t="str">
        <f>CONCATENATE(V121,W121,X121,Y121,Z121)</f>
        <v xml:space="preserve"> 1-#1 GND</v>
      </c>
      <c r="AB121" s="200"/>
      <c r="AC121" s="200"/>
      <c r="AD121" s="213"/>
    </row>
    <row r="122" spans="19:36">
      <c r="S122" s="233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5"/>
    </row>
    <row r="126" spans="19:36">
      <c r="AJ126" s="207"/>
    </row>
    <row r="127" spans="19:36">
      <c r="S127" s="200" t="s">
        <v>514</v>
      </c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</row>
    <row r="128" spans="19:36">
      <c r="S128" s="203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5"/>
      <c r="AF128" s="206" t="s">
        <v>318</v>
      </c>
      <c r="AG128" s="207"/>
      <c r="AH128" s="207"/>
      <c r="AI128" s="207"/>
    </row>
    <row r="129" spans="16:35">
      <c r="P129" s="198" t="s">
        <v>167</v>
      </c>
      <c r="Q129" s="198">
        <f>B6</f>
        <v>218</v>
      </c>
      <c r="S129" s="209"/>
      <c r="T129" s="210" t="s">
        <v>455</v>
      </c>
      <c r="U129" s="210" t="s">
        <v>287</v>
      </c>
      <c r="V129" s="211" t="s">
        <v>314</v>
      </c>
      <c r="W129" s="211" t="s">
        <v>314</v>
      </c>
      <c r="X129" s="211" t="s">
        <v>293</v>
      </c>
      <c r="Y129" s="212" t="str">
        <f>IF($Q$130=60,AG129,IF($Q$130=75,AH129,IF($Q$130=90,AI129)))</f>
        <v>75 C</v>
      </c>
      <c r="Z129" s="211" t="s">
        <v>314</v>
      </c>
      <c r="AA129" s="210" t="s">
        <v>455</v>
      </c>
      <c r="AB129" s="211" t="s">
        <v>451</v>
      </c>
      <c r="AC129" s="211" t="s">
        <v>386</v>
      </c>
      <c r="AD129" s="213"/>
      <c r="AF129" s="211" t="s">
        <v>314</v>
      </c>
      <c r="AG129" s="211" t="s">
        <v>315</v>
      </c>
      <c r="AH129" s="211" t="s">
        <v>316</v>
      </c>
      <c r="AI129" s="211" t="s">
        <v>317</v>
      </c>
    </row>
    <row r="130" spans="16:35">
      <c r="P130" s="198" t="s">
        <v>489</v>
      </c>
      <c r="Q130" s="198">
        <f>B7</f>
        <v>75</v>
      </c>
      <c r="S130" s="209"/>
      <c r="T130" s="214" t="s">
        <v>457</v>
      </c>
      <c r="U130" s="214"/>
      <c r="V130" s="215" t="s">
        <v>108</v>
      </c>
      <c r="W130" s="215" t="s">
        <v>108</v>
      </c>
      <c r="X130" s="215" t="s">
        <v>108</v>
      </c>
      <c r="Y130" s="215" t="s">
        <v>167</v>
      </c>
      <c r="Z130" s="215" t="s">
        <v>108</v>
      </c>
      <c r="AA130" s="214" t="s">
        <v>457</v>
      </c>
      <c r="AB130" s="215" t="s">
        <v>453</v>
      </c>
      <c r="AC130" s="215" t="s">
        <v>389</v>
      </c>
      <c r="AD130" s="213"/>
      <c r="AF130" s="215" t="s">
        <v>108</v>
      </c>
      <c r="AG130" s="215" t="s">
        <v>167</v>
      </c>
      <c r="AH130" s="215" t="s">
        <v>167</v>
      </c>
      <c r="AI130" s="215" t="s">
        <v>167</v>
      </c>
    </row>
    <row r="131" spans="16:35">
      <c r="S131" s="209"/>
      <c r="T131" s="217"/>
      <c r="U131" s="217"/>
      <c r="V131" s="215" t="s">
        <v>320</v>
      </c>
      <c r="W131" s="215"/>
      <c r="X131" s="215"/>
      <c r="Y131" s="215" t="s">
        <v>324</v>
      </c>
      <c r="Z131" s="215" t="s">
        <v>123</v>
      </c>
      <c r="AA131" s="217"/>
      <c r="AB131" s="218"/>
      <c r="AC131" s="218" t="s">
        <v>324</v>
      </c>
      <c r="AD131" s="213"/>
      <c r="AF131" s="215" t="s">
        <v>320</v>
      </c>
      <c r="AG131" s="215" t="s">
        <v>324</v>
      </c>
      <c r="AH131" s="215" t="s">
        <v>324</v>
      </c>
      <c r="AI131" s="215" t="s">
        <v>324</v>
      </c>
    </row>
    <row r="132" spans="16:35">
      <c r="S132" s="209"/>
      <c r="T132" s="210">
        <v>100</v>
      </c>
      <c r="U132" s="210">
        <v>0</v>
      </c>
      <c r="V132" s="220" t="s">
        <v>490</v>
      </c>
      <c r="W132" s="220" t="s">
        <v>322</v>
      </c>
      <c r="X132" s="220" t="s">
        <v>322</v>
      </c>
      <c r="Y132" s="212">
        <f t="shared" ref="Y132:Y141" si="10">IF($Q$130=60,AG132,IF($Q$130=75,AH132,IF($Q$130=90,AI132)))</f>
        <v>50</v>
      </c>
      <c r="Z132" s="210">
        <v>5</v>
      </c>
      <c r="AA132" s="210">
        <v>100</v>
      </c>
      <c r="AB132" s="210">
        <v>1482</v>
      </c>
      <c r="AC132" s="213">
        <v>0.80800000000000005</v>
      </c>
      <c r="AD132" s="213"/>
      <c r="AF132" s="211" t="s">
        <v>322</v>
      </c>
      <c r="AG132" s="211">
        <v>40</v>
      </c>
      <c r="AH132" s="211">
        <v>50</v>
      </c>
      <c r="AI132" s="211">
        <v>60</v>
      </c>
    </row>
    <row r="133" spans="16:35">
      <c r="S133" s="209"/>
      <c r="T133" s="214">
        <v>101</v>
      </c>
      <c r="U133" s="214">
        <f t="shared" ref="U133:U142" si="11">Y132+0.0000001</f>
        <v>50.000000100000001</v>
      </c>
      <c r="V133" s="223" t="s">
        <v>491</v>
      </c>
      <c r="W133" s="223" t="s">
        <v>325</v>
      </c>
      <c r="X133" s="223" t="s">
        <v>322</v>
      </c>
      <c r="Y133" s="224">
        <f t="shared" si="10"/>
        <v>65</v>
      </c>
      <c r="Z133" s="214">
        <v>6</v>
      </c>
      <c r="AA133" s="214">
        <v>101</v>
      </c>
      <c r="AB133" s="214">
        <v>2353</v>
      </c>
      <c r="AC133" s="213">
        <v>0.50800000000000001</v>
      </c>
      <c r="AD133" s="213"/>
      <c r="AF133" s="215" t="s">
        <v>325</v>
      </c>
      <c r="AG133" s="215">
        <v>55</v>
      </c>
      <c r="AH133" s="215">
        <v>65</v>
      </c>
      <c r="AI133" s="215">
        <v>75</v>
      </c>
    </row>
    <row r="134" spans="16:35">
      <c r="S134" s="209"/>
      <c r="T134" s="214">
        <v>102</v>
      </c>
      <c r="U134" s="214">
        <f t="shared" si="11"/>
        <v>65.000000099999994</v>
      </c>
      <c r="V134" s="223" t="s">
        <v>492</v>
      </c>
      <c r="W134" s="223" t="s">
        <v>326</v>
      </c>
      <c r="X134" s="223" t="s">
        <v>325</v>
      </c>
      <c r="Y134" s="224">
        <f t="shared" si="10"/>
        <v>90</v>
      </c>
      <c r="Z134" s="214">
        <v>8</v>
      </c>
      <c r="AA134" s="214">
        <v>102</v>
      </c>
      <c r="AB134" s="214">
        <v>3734</v>
      </c>
      <c r="AC134" s="213">
        <v>0.31900000000000001</v>
      </c>
      <c r="AD134" s="213"/>
      <c r="AF134" s="215" t="s">
        <v>326</v>
      </c>
      <c r="AG134" s="215">
        <v>75</v>
      </c>
      <c r="AH134" s="215">
        <v>90</v>
      </c>
      <c r="AI134" s="215">
        <v>100</v>
      </c>
    </row>
    <row r="135" spans="16:35">
      <c r="S135" s="209"/>
      <c r="T135" s="214">
        <v>103</v>
      </c>
      <c r="U135" s="214">
        <f t="shared" si="11"/>
        <v>90.000000099999994</v>
      </c>
      <c r="V135" s="223" t="s">
        <v>515</v>
      </c>
      <c r="W135" s="223" t="s">
        <v>328</v>
      </c>
      <c r="X135" s="223" t="s">
        <v>325</v>
      </c>
      <c r="Y135" s="224">
        <f t="shared" si="10"/>
        <v>100</v>
      </c>
      <c r="Z135" s="214">
        <v>9</v>
      </c>
      <c r="AA135" s="214">
        <v>103</v>
      </c>
      <c r="AB135" s="214">
        <v>4686</v>
      </c>
      <c r="AC135" s="213">
        <v>0.253</v>
      </c>
      <c r="AD135" s="213"/>
      <c r="AF135" s="215" t="s">
        <v>328</v>
      </c>
      <c r="AG135" s="215">
        <v>85</v>
      </c>
      <c r="AH135" s="215">
        <v>100</v>
      </c>
      <c r="AI135" s="215">
        <v>115</v>
      </c>
    </row>
    <row r="136" spans="16:35">
      <c r="S136" s="209"/>
      <c r="T136" s="214">
        <v>104</v>
      </c>
      <c r="U136" s="214">
        <f t="shared" si="11"/>
        <v>100.00000009999999</v>
      </c>
      <c r="V136" s="223" t="s">
        <v>516</v>
      </c>
      <c r="W136" s="223" t="s">
        <v>329</v>
      </c>
      <c r="X136" s="223" t="s">
        <v>325</v>
      </c>
      <c r="Y136" s="224">
        <f t="shared" si="10"/>
        <v>120</v>
      </c>
      <c r="Z136" s="214">
        <v>10</v>
      </c>
      <c r="AA136" s="214">
        <v>104</v>
      </c>
      <c r="AB136" s="214">
        <v>5852</v>
      </c>
      <c r="AC136" s="213">
        <v>0.20100000000000001</v>
      </c>
      <c r="AD136" s="213"/>
      <c r="AF136" s="215" t="s">
        <v>329</v>
      </c>
      <c r="AG136" s="215">
        <v>100</v>
      </c>
      <c r="AH136" s="215">
        <v>120</v>
      </c>
      <c r="AI136" s="215">
        <v>135</v>
      </c>
    </row>
    <row r="137" spans="16:35">
      <c r="S137" s="209"/>
      <c r="T137" s="214">
        <v>105</v>
      </c>
      <c r="U137" s="214">
        <f t="shared" si="11"/>
        <v>120.00000009999999</v>
      </c>
      <c r="V137" s="223" t="s">
        <v>517</v>
      </c>
      <c r="W137" s="223" t="s">
        <v>330</v>
      </c>
      <c r="X137" s="223" t="s">
        <v>325</v>
      </c>
      <c r="Y137" s="224">
        <f t="shared" si="10"/>
        <v>135</v>
      </c>
      <c r="Z137" s="214">
        <v>11</v>
      </c>
      <c r="AA137" s="214">
        <v>105</v>
      </c>
      <c r="AB137" s="214">
        <v>7327</v>
      </c>
      <c r="AC137" s="213">
        <v>0.159</v>
      </c>
      <c r="AD137" s="213"/>
      <c r="AF137" s="215" t="s">
        <v>330</v>
      </c>
      <c r="AG137" s="215">
        <v>115</v>
      </c>
      <c r="AH137" s="215">
        <v>135</v>
      </c>
      <c r="AI137" s="215">
        <v>150</v>
      </c>
    </row>
    <row r="138" spans="16:35">
      <c r="S138" s="209"/>
      <c r="T138" s="214">
        <v>106</v>
      </c>
      <c r="U138" s="214">
        <f t="shared" si="11"/>
        <v>135.00000009999999</v>
      </c>
      <c r="V138" s="223" t="s">
        <v>518</v>
      </c>
      <c r="W138" s="223" t="s">
        <v>333</v>
      </c>
      <c r="X138" s="223" t="s">
        <v>325</v>
      </c>
      <c r="Y138" s="224">
        <f t="shared" si="10"/>
        <v>155</v>
      </c>
      <c r="Z138" s="214">
        <v>12</v>
      </c>
      <c r="AA138" s="214">
        <v>106</v>
      </c>
      <c r="AB138" s="214">
        <v>9077</v>
      </c>
      <c r="AC138" s="213">
        <v>0.126</v>
      </c>
      <c r="AD138" s="213"/>
      <c r="AF138" s="215" t="s">
        <v>333</v>
      </c>
      <c r="AG138" s="215">
        <v>130</v>
      </c>
      <c r="AH138" s="215">
        <v>155</v>
      </c>
      <c r="AI138" s="215">
        <v>175</v>
      </c>
    </row>
    <row r="139" spans="16:35">
      <c r="S139" s="209"/>
      <c r="T139" s="214">
        <v>107</v>
      </c>
      <c r="U139" s="214">
        <f t="shared" si="11"/>
        <v>155.00000009999999</v>
      </c>
      <c r="V139" s="223" t="s">
        <v>519</v>
      </c>
      <c r="W139" s="223" t="s">
        <v>334</v>
      </c>
      <c r="X139" s="223" t="s">
        <v>326</v>
      </c>
      <c r="Y139" s="224">
        <f t="shared" si="10"/>
        <v>180</v>
      </c>
      <c r="Z139" s="214">
        <v>13</v>
      </c>
      <c r="AA139" s="214">
        <v>107</v>
      </c>
      <c r="AB139" s="214">
        <v>11185</v>
      </c>
      <c r="AC139" s="213">
        <v>0.1</v>
      </c>
      <c r="AD139" s="213"/>
      <c r="AF139" s="215" t="s">
        <v>334</v>
      </c>
      <c r="AG139" s="215">
        <v>150</v>
      </c>
      <c r="AH139" s="215">
        <v>180</v>
      </c>
      <c r="AI139" s="215">
        <v>205</v>
      </c>
    </row>
    <row r="140" spans="16:35">
      <c r="S140" s="209"/>
      <c r="T140" s="214">
        <v>108</v>
      </c>
      <c r="U140" s="214">
        <f t="shared" si="11"/>
        <v>180.00000009999999</v>
      </c>
      <c r="V140" s="223" t="s">
        <v>520</v>
      </c>
      <c r="W140" s="223" t="s">
        <v>336</v>
      </c>
      <c r="X140" s="223" t="s">
        <v>328</v>
      </c>
      <c r="Y140" s="224">
        <f t="shared" si="10"/>
        <v>205</v>
      </c>
      <c r="Z140" s="214">
        <v>14</v>
      </c>
      <c r="AA140" s="214">
        <v>108</v>
      </c>
      <c r="AB140" s="214">
        <v>12797</v>
      </c>
      <c r="AC140" s="213">
        <v>8.4699999999999998E-2</v>
      </c>
      <c r="AD140" s="213"/>
      <c r="AF140" s="215" t="s">
        <v>336</v>
      </c>
      <c r="AG140" s="215">
        <v>170</v>
      </c>
      <c r="AH140" s="215">
        <v>205</v>
      </c>
      <c r="AI140" s="215">
        <v>230</v>
      </c>
    </row>
    <row r="141" spans="16:35">
      <c r="S141" s="209"/>
      <c r="T141" s="214">
        <v>109</v>
      </c>
      <c r="U141" s="214">
        <f t="shared" si="11"/>
        <v>205.00000009999999</v>
      </c>
      <c r="V141" s="223" t="s">
        <v>521</v>
      </c>
      <c r="W141" s="223" t="s">
        <v>339</v>
      </c>
      <c r="X141" s="223" t="s">
        <v>329</v>
      </c>
      <c r="Y141" s="224">
        <f t="shared" si="10"/>
        <v>250</v>
      </c>
      <c r="Z141" s="214">
        <v>16</v>
      </c>
      <c r="AA141" s="214">
        <v>109</v>
      </c>
      <c r="AB141" s="214">
        <v>16795</v>
      </c>
      <c r="AC141" s="213">
        <v>6.0499999999999998E-2</v>
      </c>
      <c r="AD141" s="213"/>
      <c r="AF141" s="218" t="s">
        <v>339</v>
      </c>
      <c r="AG141" s="218">
        <v>210</v>
      </c>
      <c r="AH141" s="218">
        <v>250</v>
      </c>
      <c r="AI141" s="218">
        <v>280</v>
      </c>
    </row>
    <row r="142" spans="16:35">
      <c r="S142" s="209"/>
      <c r="T142" s="217">
        <v>110</v>
      </c>
      <c r="U142" s="217">
        <f t="shared" si="11"/>
        <v>250.00000009999999</v>
      </c>
      <c r="V142" s="225" t="s">
        <v>475</v>
      </c>
      <c r="W142" s="225" t="s">
        <v>475</v>
      </c>
      <c r="X142" s="225" t="s">
        <v>475</v>
      </c>
      <c r="Y142" s="226">
        <f>Y141</f>
        <v>250</v>
      </c>
      <c r="Z142" s="217" t="s">
        <v>475</v>
      </c>
      <c r="AA142" s="217">
        <v>110</v>
      </c>
      <c r="AB142" s="227" t="s">
        <v>475</v>
      </c>
      <c r="AC142" s="227" t="s">
        <v>475</v>
      </c>
      <c r="AD142" s="213"/>
    </row>
    <row r="143" spans="16:35">
      <c r="S143" s="209"/>
      <c r="T143" s="200"/>
      <c r="U143" s="200"/>
      <c r="V143" s="230"/>
      <c r="W143" s="230"/>
      <c r="X143" s="230"/>
      <c r="Y143" s="200"/>
      <c r="Z143" s="200"/>
      <c r="AA143" s="200"/>
      <c r="AB143" s="200"/>
      <c r="AC143" s="200"/>
      <c r="AD143" s="213"/>
    </row>
    <row r="144" spans="16:35">
      <c r="S144" s="209"/>
      <c r="T144" s="200">
        <f>VLOOKUP(AA144,T132:AA142,1)</f>
        <v>109</v>
      </c>
      <c r="U144" s="200"/>
      <c r="V144" s="200" t="str">
        <f>VLOOKUP(Q129,U132:AB142,2)</f>
        <v>350-350-350-350-1/0</v>
      </c>
      <c r="W144" s="200" t="str">
        <f>VLOOKUP(Q129,U132:AB142,3)</f>
        <v>#350</v>
      </c>
      <c r="X144" s="200" t="str">
        <f>VLOOKUP(Q129,U132:AB142,4)</f>
        <v>#1/0</v>
      </c>
      <c r="Y144" s="200">
        <f>VLOOKUP(Q129,U132:AB142,5)</f>
        <v>250</v>
      </c>
      <c r="Z144" s="200">
        <f>VLOOKUP(Q129,U132:AB142,6)</f>
        <v>16</v>
      </c>
      <c r="AA144" s="200">
        <f>VLOOKUP(Q129,U132:AB142,7)</f>
        <v>109</v>
      </c>
      <c r="AB144" s="200">
        <f>VLOOKUP(Q129,U132:AB142,8)</f>
        <v>16795</v>
      </c>
      <c r="AC144" s="200">
        <f>VLOOKUP(Q129,U132:AC142,9)</f>
        <v>6.0499999999999998E-2</v>
      </c>
      <c r="AD144" s="213"/>
    </row>
    <row r="145" spans="16:36">
      <c r="S145" s="209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13"/>
    </row>
    <row r="146" spans="16:36">
      <c r="S146" s="209"/>
      <c r="T146" s="200"/>
      <c r="U146" s="200"/>
      <c r="V146" s="200" t="s">
        <v>513</v>
      </c>
      <c r="W146" s="200"/>
      <c r="X146" s="200"/>
      <c r="Y146" s="200"/>
      <c r="Z146" s="200"/>
      <c r="AA146" s="200" t="str">
        <f>CONCATENATE(V146,W146,X146,Y146)</f>
        <v xml:space="preserve"> MC CABLE</v>
      </c>
      <c r="AB146" s="200"/>
      <c r="AC146" s="200"/>
      <c r="AD146" s="213"/>
    </row>
    <row r="147" spans="16:36">
      <c r="S147" s="209"/>
      <c r="T147" s="200"/>
      <c r="U147" s="200"/>
      <c r="V147" s="200" t="s">
        <v>500</v>
      </c>
      <c r="W147" s="200" t="str">
        <f>W144</f>
        <v>#350</v>
      </c>
      <c r="X147" s="200" t="s">
        <v>478</v>
      </c>
      <c r="Y147" s="200" t="s">
        <v>53</v>
      </c>
      <c r="Z147" s="200" t="s">
        <v>53</v>
      </c>
      <c r="AA147" s="200" t="str">
        <f>CONCATENATE(V147,W147,X147,Y147,Z147)</f>
        <v xml:space="preserve"> 4-#350 AL  </v>
      </c>
      <c r="AB147" s="200"/>
      <c r="AC147" s="200"/>
      <c r="AD147" s="213"/>
    </row>
    <row r="148" spans="16:36">
      <c r="S148" s="209"/>
      <c r="T148" s="200"/>
      <c r="U148" s="200"/>
      <c r="V148" s="200" t="s">
        <v>481</v>
      </c>
      <c r="W148" s="200" t="str">
        <f>X144</f>
        <v>#1/0</v>
      </c>
      <c r="X148" s="200" t="s">
        <v>412</v>
      </c>
      <c r="Y148" s="200"/>
      <c r="Z148" s="200"/>
      <c r="AA148" s="200" t="str">
        <f>CONCATENATE(V148,W148,X148,Y148,Z148)</f>
        <v xml:space="preserve"> 1-#1/0 GND</v>
      </c>
      <c r="AB148" s="200"/>
      <c r="AC148" s="200"/>
      <c r="AD148" s="213"/>
    </row>
    <row r="149" spans="16:36">
      <c r="S149" s="233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5"/>
    </row>
    <row r="150" spans="16:36">
      <c r="AJ150" s="207"/>
    </row>
    <row r="153" spans="16:36">
      <c r="S153" s="200" t="s">
        <v>522</v>
      </c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</row>
    <row r="154" spans="16:36">
      <c r="S154" s="203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5"/>
      <c r="AF154" s="206" t="s">
        <v>318</v>
      </c>
      <c r="AG154" s="207"/>
      <c r="AH154" s="207"/>
      <c r="AI154" s="207"/>
    </row>
    <row r="155" spans="16:36">
      <c r="P155" s="198" t="s">
        <v>167</v>
      </c>
      <c r="Q155" s="198">
        <f>B6</f>
        <v>218</v>
      </c>
      <c r="S155" s="209"/>
      <c r="T155" s="210" t="s">
        <v>455</v>
      </c>
      <c r="U155" s="210" t="s">
        <v>287</v>
      </c>
      <c r="V155" s="211" t="s">
        <v>314</v>
      </c>
      <c r="W155" s="211" t="s">
        <v>314</v>
      </c>
      <c r="X155" s="211" t="s">
        <v>293</v>
      </c>
      <c r="Y155" s="212" t="str">
        <f>IF($Q$156=60,AG155,IF($Q$156=75,AH155,IF($Q$156=90,AI155)))</f>
        <v>75 C</v>
      </c>
      <c r="Z155" s="211" t="s">
        <v>314</v>
      </c>
      <c r="AA155" s="210" t="s">
        <v>455</v>
      </c>
      <c r="AB155" s="211" t="s">
        <v>451</v>
      </c>
      <c r="AC155" s="211" t="s">
        <v>386</v>
      </c>
      <c r="AD155" s="213"/>
      <c r="AF155" s="211" t="s">
        <v>314</v>
      </c>
      <c r="AG155" s="211" t="s">
        <v>315</v>
      </c>
      <c r="AH155" s="211" t="s">
        <v>316</v>
      </c>
      <c r="AI155" s="211" t="s">
        <v>317</v>
      </c>
    </row>
    <row r="156" spans="16:36">
      <c r="P156" s="198" t="s">
        <v>489</v>
      </c>
      <c r="Q156" s="198">
        <f>B7</f>
        <v>75</v>
      </c>
      <c r="S156" s="209"/>
      <c r="T156" s="214" t="s">
        <v>457</v>
      </c>
      <c r="U156" s="214"/>
      <c r="V156" s="215" t="s">
        <v>108</v>
      </c>
      <c r="W156" s="215" t="s">
        <v>108</v>
      </c>
      <c r="X156" s="215" t="s">
        <v>108</v>
      </c>
      <c r="Y156" s="215" t="s">
        <v>167</v>
      </c>
      <c r="Z156" s="215" t="s">
        <v>108</v>
      </c>
      <c r="AA156" s="214" t="s">
        <v>457</v>
      </c>
      <c r="AB156" s="215" t="s">
        <v>453</v>
      </c>
      <c r="AC156" s="215" t="s">
        <v>389</v>
      </c>
      <c r="AD156" s="213"/>
      <c r="AF156" s="215" t="s">
        <v>108</v>
      </c>
      <c r="AG156" s="215" t="s">
        <v>167</v>
      </c>
      <c r="AH156" s="215" t="s">
        <v>167</v>
      </c>
      <c r="AI156" s="215" t="s">
        <v>167</v>
      </c>
    </row>
    <row r="157" spans="16:36">
      <c r="S157" s="209"/>
      <c r="T157" s="217"/>
      <c r="U157" s="217"/>
      <c r="V157" s="215" t="s">
        <v>320</v>
      </c>
      <c r="W157" s="215"/>
      <c r="X157" s="215"/>
      <c r="Y157" s="215" t="s">
        <v>324</v>
      </c>
      <c r="Z157" s="215" t="s">
        <v>123</v>
      </c>
      <c r="AA157" s="217"/>
      <c r="AB157" s="218"/>
      <c r="AC157" s="218" t="s">
        <v>323</v>
      </c>
      <c r="AD157" s="213"/>
      <c r="AF157" s="215" t="s">
        <v>320</v>
      </c>
      <c r="AG157" s="215" t="s">
        <v>323</v>
      </c>
      <c r="AH157" s="215" t="s">
        <v>323</v>
      </c>
      <c r="AI157" s="215" t="s">
        <v>323</v>
      </c>
    </row>
    <row r="158" spans="16:36">
      <c r="S158" s="209"/>
      <c r="T158" s="210">
        <v>100</v>
      </c>
      <c r="U158" s="210">
        <v>0</v>
      </c>
      <c r="V158" s="220" t="s">
        <v>523</v>
      </c>
      <c r="W158" s="220" t="s">
        <v>325</v>
      </c>
      <c r="X158" s="220" t="s">
        <v>382</v>
      </c>
      <c r="Y158" s="212">
        <f t="shared" ref="Y158:Y167" si="12">IF($Q$156=60,AG158,IF($Q$156=75,AH158,IF($Q$156=90,AI158)))</f>
        <v>85</v>
      </c>
      <c r="Z158" s="210">
        <v>6</v>
      </c>
      <c r="AA158" s="210">
        <v>100</v>
      </c>
      <c r="AB158" s="210">
        <v>3830</v>
      </c>
      <c r="AC158" s="213">
        <v>0.308</v>
      </c>
      <c r="AD158" s="213"/>
      <c r="AF158" s="215" t="s">
        <v>325</v>
      </c>
      <c r="AG158" s="215">
        <v>70</v>
      </c>
      <c r="AH158" s="215">
        <v>85</v>
      </c>
      <c r="AI158" s="215">
        <v>95</v>
      </c>
    </row>
    <row r="159" spans="16:36">
      <c r="S159" s="209"/>
      <c r="T159" s="214">
        <v>101</v>
      </c>
      <c r="U159" s="214">
        <f t="shared" ref="U159:U168" si="13">Y158+0.0000001</f>
        <v>85.000000099999994</v>
      </c>
      <c r="V159" s="223" t="s">
        <v>524</v>
      </c>
      <c r="W159" s="223" t="s">
        <v>327</v>
      </c>
      <c r="X159" s="223" t="s">
        <v>322</v>
      </c>
      <c r="Y159" s="224">
        <f t="shared" si="12"/>
        <v>100</v>
      </c>
      <c r="Z159" s="214">
        <v>7</v>
      </c>
      <c r="AA159" s="214">
        <v>101</v>
      </c>
      <c r="AB159" s="214">
        <v>4820</v>
      </c>
      <c r="AC159" s="213">
        <v>0.245</v>
      </c>
      <c r="AD159" s="213"/>
      <c r="AF159" s="215" t="s">
        <v>327</v>
      </c>
      <c r="AG159" s="215">
        <v>85</v>
      </c>
      <c r="AH159" s="215">
        <v>100</v>
      </c>
      <c r="AI159" s="215">
        <v>110</v>
      </c>
    </row>
    <row r="160" spans="16:36">
      <c r="S160" s="209"/>
      <c r="T160" s="214">
        <v>102</v>
      </c>
      <c r="U160" s="214">
        <f t="shared" si="13"/>
        <v>100.00000009999999</v>
      </c>
      <c r="V160" s="223" t="s">
        <v>525</v>
      </c>
      <c r="W160" s="223" t="s">
        <v>326</v>
      </c>
      <c r="X160" s="223" t="s">
        <v>322</v>
      </c>
      <c r="Y160" s="224">
        <f t="shared" si="12"/>
        <v>115</v>
      </c>
      <c r="Z160" s="214">
        <v>8</v>
      </c>
      <c r="AA160" s="214">
        <v>102</v>
      </c>
      <c r="AB160" s="214">
        <v>5989</v>
      </c>
      <c r="AC160" s="213">
        <v>0.19400000000000001</v>
      </c>
      <c r="AD160" s="213"/>
      <c r="AF160" s="215" t="s">
        <v>326</v>
      </c>
      <c r="AG160" s="215">
        <v>95</v>
      </c>
      <c r="AH160" s="215">
        <v>115</v>
      </c>
      <c r="AI160" s="215">
        <v>130</v>
      </c>
    </row>
    <row r="161" spans="19:35">
      <c r="S161" s="209"/>
      <c r="T161" s="214">
        <v>103</v>
      </c>
      <c r="U161" s="214">
        <f t="shared" si="13"/>
        <v>115.00000009999999</v>
      </c>
      <c r="V161" s="223" t="s">
        <v>526</v>
      </c>
      <c r="W161" s="223" t="s">
        <v>328</v>
      </c>
      <c r="X161" s="223" t="s">
        <v>322</v>
      </c>
      <c r="Y161" s="224">
        <f t="shared" si="12"/>
        <v>130</v>
      </c>
      <c r="Z161" s="214">
        <v>9</v>
      </c>
      <c r="AA161" s="214">
        <v>103</v>
      </c>
      <c r="AB161" s="214">
        <v>7454</v>
      </c>
      <c r="AC161" s="213">
        <v>0.154</v>
      </c>
      <c r="AD161" s="213"/>
      <c r="AF161" s="215" t="s">
        <v>328</v>
      </c>
      <c r="AG161" s="215">
        <v>110</v>
      </c>
      <c r="AH161" s="215">
        <v>130</v>
      </c>
      <c r="AI161" s="215">
        <v>150</v>
      </c>
    </row>
    <row r="162" spans="19:35">
      <c r="S162" s="209"/>
      <c r="T162" s="214">
        <v>104</v>
      </c>
      <c r="U162" s="214">
        <f t="shared" si="13"/>
        <v>130.00000009999999</v>
      </c>
      <c r="V162" s="223" t="s">
        <v>527</v>
      </c>
      <c r="W162" s="223" t="s">
        <v>329</v>
      </c>
      <c r="X162" s="223" t="s">
        <v>322</v>
      </c>
      <c r="Y162" s="224">
        <f t="shared" si="12"/>
        <v>150</v>
      </c>
      <c r="Z162" s="214">
        <v>10</v>
      </c>
      <c r="AA162" s="214">
        <v>104</v>
      </c>
      <c r="AB162" s="214">
        <v>9210</v>
      </c>
      <c r="AC162" s="213">
        <v>0.122</v>
      </c>
      <c r="AD162" s="213"/>
      <c r="AF162" s="215" t="s">
        <v>329</v>
      </c>
      <c r="AG162" s="215">
        <v>125</v>
      </c>
      <c r="AH162" s="215">
        <v>150</v>
      </c>
      <c r="AI162" s="215">
        <v>170</v>
      </c>
    </row>
    <row r="163" spans="19:35">
      <c r="S163" s="209"/>
      <c r="T163" s="214">
        <v>105</v>
      </c>
      <c r="U163" s="214">
        <f t="shared" si="13"/>
        <v>150.00000009999999</v>
      </c>
      <c r="V163" s="223" t="s">
        <v>528</v>
      </c>
      <c r="W163" s="223" t="s">
        <v>330</v>
      </c>
      <c r="X163" s="223" t="s">
        <v>322</v>
      </c>
      <c r="Y163" s="224">
        <f t="shared" si="12"/>
        <v>175</v>
      </c>
      <c r="Z163" s="214">
        <v>11</v>
      </c>
      <c r="AA163" s="214">
        <v>105</v>
      </c>
      <c r="AB163" s="214">
        <v>11245</v>
      </c>
      <c r="AC163" s="213">
        <v>9.6699999999999994E-2</v>
      </c>
      <c r="AD163" s="213"/>
      <c r="AF163" s="215" t="s">
        <v>330</v>
      </c>
      <c r="AG163" s="215">
        <v>145</v>
      </c>
      <c r="AH163" s="215">
        <v>175</v>
      </c>
      <c r="AI163" s="215">
        <v>195</v>
      </c>
    </row>
    <row r="164" spans="19:35">
      <c r="S164" s="209"/>
      <c r="T164" s="214">
        <v>106</v>
      </c>
      <c r="U164" s="214">
        <f t="shared" si="13"/>
        <v>175.00000009999999</v>
      </c>
      <c r="V164" s="223" t="s">
        <v>509</v>
      </c>
      <c r="W164" s="223" t="s">
        <v>333</v>
      </c>
      <c r="X164" s="223" t="s">
        <v>325</v>
      </c>
      <c r="Y164" s="224">
        <f t="shared" si="12"/>
        <v>200</v>
      </c>
      <c r="Z164" s="214">
        <v>12</v>
      </c>
      <c r="AA164" s="214">
        <v>106</v>
      </c>
      <c r="AB164" s="214">
        <v>13656</v>
      </c>
      <c r="AC164" s="213">
        <v>7.6600000000000001E-2</v>
      </c>
      <c r="AD164" s="213"/>
      <c r="AF164" s="215" t="s">
        <v>333</v>
      </c>
      <c r="AG164" s="215">
        <v>165</v>
      </c>
      <c r="AH164" s="215">
        <v>200</v>
      </c>
      <c r="AI164" s="215">
        <v>225</v>
      </c>
    </row>
    <row r="165" spans="19:35">
      <c r="S165" s="209"/>
      <c r="T165" s="214">
        <v>107</v>
      </c>
      <c r="U165" s="214">
        <f t="shared" si="13"/>
        <v>200.00000009999999</v>
      </c>
      <c r="V165" s="223" t="s">
        <v>529</v>
      </c>
      <c r="W165" s="223" t="s">
        <v>334</v>
      </c>
      <c r="X165" s="223" t="s">
        <v>325</v>
      </c>
      <c r="Y165" s="224">
        <f t="shared" si="12"/>
        <v>230</v>
      </c>
      <c r="Z165" s="214">
        <v>13</v>
      </c>
      <c r="AA165" s="214">
        <v>107</v>
      </c>
      <c r="AB165" s="214">
        <v>16392</v>
      </c>
      <c r="AC165" s="213">
        <v>6.08E-2</v>
      </c>
      <c r="AD165" s="213"/>
      <c r="AF165" s="215" t="s">
        <v>334</v>
      </c>
      <c r="AG165" s="215">
        <v>195</v>
      </c>
      <c r="AH165" s="215">
        <v>230</v>
      </c>
      <c r="AI165" s="215">
        <v>260</v>
      </c>
    </row>
    <row r="166" spans="19:35">
      <c r="S166" s="209"/>
      <c r="T166" s="214">
        <v>108</v>
      </c>
      <c r="U166" s="214">
        <f t="shared" si="13"/>
        <v>230.00000009999999</v>
      </c>
      <c r="V166" s="223" t="s">
        <v>530</v>
      </c>
      <c r="W166" s="223" t="s">
        <v>336</v>
      </c>
      <c r="X166" s="223" t="s">
        <v>325</v>
      </c>
      <c r="Y166" s="224">
        <f t="shared" si="12"/>
        <v>255</v>
      </c>
      <c r="Z166" s="214">
        <v>14</v>
      </c>
      <c r="AA166" s="214">
        <v>108</v>
      </c>
      <c r="AB166" s="214">
        <v>18311</v>
      </c>
      <c r="AC166" s="213">
        <v>5.1499999999999997E-2</v>
      </c>
      <c r="AD166" s="213"/>
      <c r="AF166" s="215" t="s">
        <v>336</v>
      </c>
      <c r="AG166" s="215">
        <v>215</v>
      </c>
      <c r="AH166" s="215">
        <v>255</v>
      </c>
      <c r="AI166" s="215">
        <v>290</v>
      </c>
    </row>
    <row r="167" spans="19:35">
      <c r="S167" s="209"/>
      <c r="T167" s="214">
        <v>109</v>
      </c>
      <c r="U167" s="214">
        <f t="shared" si="13"/>
        <v>255.00000009999999</v>
      </c>
      <c r="V167" s="223" t="s">
        <v>531</v>
      </c>
      <c r="W167" s="223" t="s">
        <v>339</v>
      </c>
      <c r="X167" s="223" t="s">
        <v>327</v>
      </c>
      <c r="Y167" s="224">
        <f t="shared" si="12"/>
        <v>310</v>
      </c>
      <c r="Z167" s="214">
        <v>16</v>
      </c>
      <c r="AA167" s="214">
        <v>109</v>
      </c>
      <c r="AB167" s="214">
        <v>22646</v>
      </c>
      <c r="AC167" s="213">
        <v>3.6700000000000003E-2</v>
      </c>
      <c r="AD167" s="213"/>
      <c r="AF167" s="218" t="s">
        <v>339</v>
      </c>
      <c r="AG167" s="218">
        <v>260</v>
      </c>
      <c r="AH167" s="218">
        <v>310</v>
      </c>
      <c r="AI167" s="218">
        <v>350</v>
      </c>
    </row>
    <row r="168" spans="19:35">
      <c r="S168" s="209"/>
      <c r="T168" s="217">
        <v>110</v>
      </c>
      <c r="U168" s="217">
        <f t="shared" si="13"/>
        <v>310.00000010000002</v>
      </c>
      <c r="V168" s="225" t="s">
        <v>475</v>
      </c>
      <c r="W168" s="225" t="s">
        <v>475</v>
      </c>
      <c r="X168" s="225" t="s">
        <v>475</v>
      </c>
      <c r="Y168" s="226">
        <f>Y167</f>
        <v>310</v>
      </c>
      <c r="Z168" s="217" t="s">
        <v>475</v>
      </c>
      <c r="AA168" s="217">
        <v>110</v>
      </c>
      <c r="AB168" s="227" t="s">
        <v>475</v>
      </c>
      <c r="AC168" s="227" t="s">
        <v>475</v>
      </c>
      <c r="AD168" s="213"/>
    </row>
    <row r="169" spans="19:35">
      <c r="S169" s="209"/>
      <c r="T169" s="200"/>
      <c r="U169" s="200"/>
      <c r="V169" s="230"/>
      <c r="W169" s="230"/>
      <c r="X169" s="230"/>
      <c r="Y169" s="200"/>
      <c r="Z169" s="200"/>
      <c r="AA169" s="200"/>
      <c r="AB169" s="200"/>
      <c r="AC169" s="200"/>
      <c r="AD169" s="213"/>
    </row>
    <row r="170" spans="19:35">
      <c r="S170" s="209"/>
      <c r="T170" s="200">
        <f>VLOOKUP(AA170,T158:AA168,1)</f>
        <v>107</v>
      </c>
      <c r="U170" s="200"/>
      <c r="V170" s="200" t="str">
        <f>VLOOKUP(Q155,U158:AB168,2)</f>
        <v>4/0-4/0-4/0-4</v>
      </c>
      <c r="W170" s="200" t="str">
        <f>VLOOKUP(Q155,U158:AB168,3)</f>
        <v>#4/0</v>
      </c>
      <c r="X170" s="200" t="str">
        <f>VLOOKUP(Q155,U158:AB168,4)</f>
        <v>#4</v>
      </c>
      <c r="Y170" s="200">
        <f>VLOOKUP(Q155,U158:AB168,5)</f>
        <v>230</v>
      </c>
      <c r="Z170" s="200">
        <f>VLOOKUP(Q155,U158:AB168,6)</f>
        <v>13</v>
      </c>
      <c r="AA170" s="200">
        <f>VLOOKUP(Q155,U158:AB168,7)</f>
        <v>107</v>
      </c>
      <c r="AB170" s="200">
        <f>VLOOKUP(Q155,U158:AB168,8)</f>
        <v>16392</v>
      </c>
      <c r="AC170" s="200">
        <f>VLOOKUP(Q155,U158:AC168,9)</f>
        <v>6.08E-2</v>
      </c>
      <c r="AD170" s="213"/>
    </row>
    <row r="171" spans="19:35">
      <c r="S171" s="209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13"/>
    </row>
    <row r="172" spans="19:35">
      <c r="S172" s="209"/>
      <c r="T172" s="200"/>
      <c r="U172" s="200"/>
      <c r="V172" s="200" t="s">
        <v>513</v>
      </c>
      <c r="W172" s="200"/>
      <c r="X172" s="200"/>
      <c r="Y172" s="200"/>
      <c r="Z172" s="200"/>
      <c r="AA172" s="200" t="str">
        <f>CONCATENATE(V172,W172,X172,Y172)</f>
        <v xml:space="preserve"> MC CABLE</v>
      </c>
      <c r="AB172" s="200"/>
      <c r="AC172" s="200"/>
      <c r="AD172" s="213"/>
    </row>
    <row r="173" spans="19:35">
      <c r="S173" s="209"/>
      <c r="T173" s="200"/>
      <c r="U173" s="200"/>
      <c r="V173" s="200" t="s">
        <v>477</v>
      </c>
      <c r="W173" s="200" t="str">
        <f>W170</f>
        <v>#4/0</v>
      </c>
      <c r="X173" s="200" t="s">
        <v>487</v>
      </c>
      <c r="Y173" s="200" t="s">
        <v>53</v>
      </c>
      <c r="Z173" s="200" t="s">
        <v>53</v>
      </c>
      <c r="AA173" s="200" t="str">
        <f>CONCATENATE(V173,W173,X173,Y173,Z173)</f>
        <v xml:space="preserve"> 3-#4/0 CU  </v>
      </c>
      <c r="AB173" s="200"/>
      <c r="AC173" s="200"/>
      <c r="AD173" s="213"/>
    </row>
    <row r="174" spans="19:35">
      <c r="S174" s="209"/>
      <c r="T174" s="200"/>
      <c r="U174" s="200"/>
      <c r="V174" s="200" t="s">
        <v>481</v>
      </c>
      <c r="W174" s="200" t="str">
        <f>X170</f>
        <v>#4</v>
      </c>
      <c r="X174" s="200" t="s">
        <v>412</v>
      </c>
      <c r="Y174" s="200"/>
      <c r="Z174" s="200"/>
      <c r="AA174" s="200" t="str">
        <f>CONCATENATE(V174,W174,X174,Y174,Z174)</f>
        <v xml:space="preserve"> 1-#4 GND</v>
      </c>
      <c r="AB174" s="200"/>
      <c r="AC174" s="200"/>
      <c r="AD174" s="213"/>
    </row>
    <row r="175" spans="19:35">
      <c r="S175" s="233"/>
      <c r="T175" s="234"/>
      <c r="U175" s="234"/>
      <c r="V175" s="234"/>
      <c r="W175" s="234"/>
      <c r="X175" s="234"/>
      <c r="Y175" s="234"/>
      <c r="Z175" s="234"/>
      <c r="AA175" s="234"/>
      <c r="AB175" s="234"/>
      <c r="AC175" s="234"/>
      <c r="AD175" s="235"/>
    </row>
    <row r="177" spans="16:36">
      <c r="AJ177" s="207"/>
    </row>
    <row r="180" spans="16:36">
      <c r="S180" s="200" t="s">
        <v>532</v>
      </c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</row>
    <row r="181" spans="16:36">
      <c r="S181" s="203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5"/>
      <c r="AF181" s="206" t="s">
        <v>318</v>
      </c>
      <c r="AG181" s="207"/>
      <c r="AH181" s="207"/>
      <c r="AI181" s="207"/>
    </row>
    <row r="182" spans="16:36">
      <c r="P182" s="198" t="s">
        <v>167</v>
      </c>
      <c r="Q182" s="198">
        <f>B6</f>
        <v>218</v>
      </c>
      <c r="S182" s="209"/>
      <c r="T182" s="210" t="s">
        <v>455</v>
      </c>
      <c r="U182" s="210" t="s">
        <v>287</v>
      </c>
      <c r="V182" s="211" t="s">
        <v>314</v>
      </c>
      <c r="W182" s="211" t="s">
        <v>314</v>
      </c>
      <c r="X182" s="211" t="s">
        <v>264</v>
      </c>
      <c r="Y182" s="212" t="str">
        <f>IF($Q$183=60,AG182,IF($Q$183=75,AH182,IF($Q$183=90,AI182)))</f>
        <v>75 C</v>
      </c>
      <c r="Z182" s="211" t="s">
        <v>314</v>
      </c>
      <c r="AA182" s="210" t="s">
        <v>455</v>
      </c>
      <c r="AB182" s="211" t="s">
        <v>451</v>
      </c>
      <c r="AC182" s="211" t="s">
        <v>386</v>
      </c>
      <c r="AD182" s="213"/>
      <c r="AF182" s="211" t="s">
        <v>314</v>
      </c>
      <c r="AG182" s="211" t="s">
        <v>315</v>
      </c>
      <c r="AH182" s="211" t="s">
        <v>316</v>
      </c>
      <c r="AI182" s="211" t="s">
        <v>317</v>
      </c>
    </row>
    <row r="183" spans="16:36">
      <c r="P183" s="198" t="s">
        <v>489</v>
      </c>
      <c r="Q183" s="198">
        <f>B7</f>
        <v>75</v>
      </c>
      <c r="S183" s="209"/>
      <c r="T183" s="214" t="s">
        <v>457</v>
      </c>
      <c r="U183" s="214"/>
      <c r="V183" s="215" t="s">
        <v>108</v>
      </c>
      <c r="W183" s="215" t="s">
        <v>108</v>
      </c>
      <c r="X183" s="215" t="s">
        <v>108</v>
      </c>
      <c r="Y183" s="215" t="s">
        <v>167</v>
      </c>
      <c r="Z183" s="215" t="s">
        <v>108</v>
      </c>
      <c r="AA183" s="214" t="s">
        <v>457</v>
      </c>
      <c r="AB183" s="215" t="s">
        <v>453</v>
      </c>
      <c r="AC183" s="215" t="s">
        <v>389</v>
      </c>
      <c r="AD183" s="213"/>
      <c r="AF183" s="215" t="s">
        <v>108</v>
      </c>
      <c r="AG183" s="215" t="s">
        <v>167</v>
      </c>
      <c r="AH183" s="215" t="s">
        <v>167</v>
      </c>
      <c r="AI183" s="215" t="s">
        <v>167</v>
      </c>
    </row>
    <row r="184" spans="16:36">
      <c r="S184" s="209"/>
      <c r="T184" s="217"/>
      <c r="U184" s="217"/>
      <c r="V184" s="215" t="s">
        <v>320</v>
      </c>
      <c r="W184" s="215"/>
      <c r="X184" s="215"/>
      <c r="Y184" s="215" t="s">
        <v>324</v>
      </c>
      <c r="Z184" s="215" t="s">
        <v>123</v>
      </c>
      <c r="AA184" s="217"/>
      <c r="AB184" s="218"/>
      <c r="AC184" s="218" t="s">
        <v>323</v>
      </c>
      <c r="AD184" s="213"/>
      <c r="AF184" s="215" t="s">
        <v>320</v>
      </c>
      <c r="AG184" s="215" t="s">
        <v>323</v>
      </c>
      <c r="AH184" s="215" t="s">
        <v>323</v>
      </c>
      <c r="AI184" s="215" t="s">
        <v>323</v>
      </c>
    </row>
    <row r="185" spans="16:36">
      <c r="S185" s="209"/>
      <c r="T185" s="210">
        <v>100</v>
      </c>
      <c r="U185" s="210">
        <v>0</v>
      </c>
      <c r="V185" s="220" t="s">
        <v>533</v>
      </c>
      <c r="W185" s="220" t="s">
        <v>325</v>
      </c>
      <c r="X185" s="220" t="s">
        <v>382</v>
      </c>
      <c r="Y185" s="212">
        <f t="shared" ref="Y185:Y194" si="14">IF($Q$183=60,AG185,IF($Q$183=75,AH185,IF($Q$183=90,AI185)))</f>
        <v>85</v>
      </c>
      <c r="Z185" s="210">
        <v>6</v>
      </c>
      <c r="AA185" s="210">
        <v>100</v>
      </c>
      <c r="AB185" s="210">
        <v>3830</v>
      </c>
      <c r="AC185" s="213">
        <v>0.308</v>
      </c>
      <c r="AD185" s="213"/>
      <c r="AF185" s="215" t="s">
        <v>325</v>
      </c>
      <c r="AG185" s="215">
        <v>70</v>
      </c>
      <c r="AH185" s="215">
        <v>85</v>
      </c>
      <c r="AI185" s="215">
        <v>95</v>
      </c>
    </row>
    <row r="186" spans="16:36">
      <c r="S186" s="209"/>
      <c r="T186" s="214">
        <v>101</v>
      </c>
      <c r="U186" s="214">
        <f t="shared" ref="U186:U195" si="15">Y185+0.0000001</f>
        <v>85.000000099999994</v>
      </c>
      <c r="V186" s="223" t="s">
        <v>534</v>
      </c>
      <c r="W186" s="223" t="s">
        <v>327</v>
      </c>
      <c r="X186" s="223" t="s">
        <v>322</v>
      </c>
      <c r="Y186" s="224">
        <f t="shared" si="14"/>
        <v>100</v>
      </c>
      <c r="Z186" s="214">
        <v>7</v>
      </c>
      <c r="AA186" s="214">
        <v>101</v>
      </c>
      <c r="AB186" s="214">
        <v>4820</v>
      </c>
      <c r="AC186" s="213">
        <v>0.245</v>
      </c>
      <c r="AD186" s="213"/>
      <c r="AF186" s="215" t="s">
        <v>327</v>
      </c>
      <c r="AG186" s="215">
        <v>85</v>
      </c>
      <c r="AH186" s="215">
        <v>100</v>
      </c>
      <c r="AI186" s="215">
        <v>110</v>
      </c>
    </row>
    <row r="187" spans="16:36">
      <c r="S187" s="209"/>
      <c r="T187" s="214">
        <v>102</v>
      </c>
      <c r="U187" s="214">
        <f t="shared" si="15"/>
        <v>100.00000009999999</v>
      </c>
      <c r="V187" s="223" t="s">
        <v>535</v>
      </c>
      <c r="W187" s="223" t="s">
        <v>326</v>
      </c>
      <c r="X187" s="223" t="s">
        <v>322</v>
      </c>
      <c r="Y187" s="224">
        <f t="shared" si="14"/>
        <v>115</v>
      </c>
      <c r="Z187" s="214">
        <v>8</v>
      </c>
      <c r="AA187" s="214">
        <v>102</v>
      </c>
      <c r="AB187" s="214">
        <v>5989</v>
      </c>
      <c r="AC187" s="213">
        <v>0.19400000000000001</v>
      </c>
      <c r="AD187" s="213"/>
      <c r="AF187" s="215" t="s">
        <v>326</v>
      </c>
      <c r="AG187" s="215">
        <v>95</v>
      </c>
      <c r="AH187" s="215">
        <v>115</v>
      </c>
      <c r="AI187" s="215">
        <v>130</v>
      </c>
    </row>
    <row r="188" spans="16:36">
      <c r="S188" s="209"/>
      <c r="T188" s="214">
        <v>103</v>
      </c>
      <c r="U188" s="214">
        <f t="shared" si="15"/>
        <v>115.00000009999999</v>
      </c>
      <c r="V188" s="223" t="s">
        <v>536</v>
      </c>
      <c r="W188" s="223" t="s">
        <v>328</v>
      </c>
      <c r="X188" s="223" t="s">
        <v>322</v>
      </c>
      <c r="Y188" s="224">
        <f t="shared" si="14"/>
        <v>130</v>
      </c>
      <c r="Z188" s="214">
        <v>9</v>
      </c>
      <c r="AA188" s="214">
        <v>103</v>
      </c>
      <c r="AB188" s="214">
        <v>7454</v>
      </c>
      <c r="AC188" s="213">
        <v>0.154</v>
      </c>
      <c r="AD188" s="213"/>
      <c r="AF188" s="215" t="s">
        <v>328</v>
      </c>
      <c r="AG188" s="215">
        <v>110</v>
      </c>
      <c r="AH188" s="215">
        <v>130</v>
      </c>
      <c r="AI188" s="215">
        <v>150</v>
      </c>
    </row>
    <row r="189" spans="16:36">
      <c r="S189" s="209"/>
      <c r="T189" s="214">
        <v>104</v>
      </c>
      <c r="U189" s="214">
        <f t="shared" si="15"/>
        <v>130.00000009999999</v>
      </c>
      <c r="V189" s="223" t="s">
        <v>537</v>
      </c>
      <c r="W189" s="223" t="s">
        <v>329</v>
      </c>
      <c r="X189" s="223" t="s">
        <v>322</v>
      </c>
      <c r="Y189" s="224">
        <f t="shared" si="14"/>
        <v>150</v>
      </c>
      <c r="Z189" s="214">
        <v>10</v>
      </c>
      <c r="AA189" s="214">
        <v>104</v>
      </c>
      <c r="AB189" s="214">
        <v>9210</v>
      </c>
      <c r="AC189" s="213">
        <v>0.122</v>
      </c>
      <c r="AD189" s="213"/>
      <c r="AF189" s="215" t="s">
        <v>329</v>
      </c>
      <c r="AG189" s="215">
        <v>125</v>
      </c>
      <c r="AH189" s="215">
        <v>150</v>
      </c>
      <c r="AI189" s="215">
        <v>170</v>
      </c>
    </row>
    <row r="190" spans="16:36">
      <c r="S190" s="209"/>
      <c r="T190" s="214">
        <v>105</v>
      </c>
      <c r="U190" s="214">
        <f t="shared" si="15"/>
        <v>150.00000009999999</v>
      </c>
      <c r="V190" s="223" t="s">
        <v>538</v>
      </c>
      <c r="W190" s="223" t="s">
        <v>330</v>
      </c>
      <c r="X190" s="223" t="s">
        <v>322</v>
      </c>
      <c r="Y190" s="224">
        <f t="shared" si="14"/>
        <v>175</v>
      </c>
      <c r="Z190" s="214">
        <v>11</v>
      </c>
      <c r="AA190" s="214">
        <v>105</v>
      </c>
      <c r="AB190" s="214">
        <v>11245</v>
      </c>
      <c r="AC190" s="213">
        <v>9.6699999999999994E-2</v>
      </c>
      <c r="AD190" s="213"/>
      <c r="AF190" s="215" t="s">
        <v>330</v>
      </c>
      <c r="AG190" s="215">
        <v>145</v>
      </c>
      <c r="AH190" s="215">
        <v>175</v>
      </c>
      <c r="AI190" s="215">
        <v>195</v>
      </c>
    </row>
    <row r="191" spans="16:36">
      <c r="S191" s="209"/>
      <c r="T191" s="214">
        <v>106</v>
      </c>
      <c r="U191" s="214">
        <f t="shared" si="15"/>
        <v>175.00000009999999</v>
      </c>
      <c r="V191" s="223" t="s">
        <v>518</v>
      </c>
      <c r="W191" s="223" t="s">
        <v>333</v>
      </c>
      <c r="X191" s="223" t="s">
        <v>325</v>
      </c>
      <c r="Y191" s="224">
        <f t="shared" si="14"/>
        <v>200</v>
      </c>
      <c r="Z191" s="214">
        <v>12</v>
      </c>
      <c r="AA191" s="214">
        <v>106</v>
      </c>
      <c r="AB191" s="214">
        <v>13656</v>
      </c>
      <c r="AC191" s="213">
        <v>7.6600000000000001E-2</v>
      </c>
      <c r="AD191" s="213"/>
      <c r="AF191" s="215" t="s">
        <v>333</v>
      </c>
      <c r="AG191" s="215">
        <v>165</v>
      </c>
      <c r="AH191" s="215">
        <v>200</v>
      </c>
      <c r="AI191" s="215">
        <v>225</v>
      </c>
    </row>
    <row r="192" spans="16:36">
      <c r="S192" s="209"/>
      <c r="T192" s="214">
        <v>107</v>
      </c>
      <c r="U192" s="214">
        <f t="shared" si="15"/>
        <v>200.00000009999999</v>
      </c>
      <c r="V192" s="223" t="s">
        <v>539</v>
      </c>
      <c r="W192" s="223" t="s">
        <v>334</v>
      </c>
      <c r="X192" s="223" t="s">
        <v>325</v>
      </c>
      <c r="Y192" s="224">
        <f t="shared" si="14"/>
        <v>230</v>
      </c>
      <c r="Z192" s="214">
        <v>13</v>
      </c>
      <c r="AA192" s="214">
        <v>107</v>
      </c>
      <c r="AB192" s="214">
        <v>16392</v>
      </c>
      <c r="AC192" s="213">
        <v>6.08E-2</v>
      </c>
      <c r="AD192" s="213"/>
      <c r="AF192" s="215" t="s">
        <v>334</v>
      </c>
      <c r="AG192" s="215">
        <v>195</v>
      </c>
      <c r="AH192" s="215">
        <v>230</v>
      </c>
      <c r="AI192" s="215">
        <v>260</v>
      </c>
    </row>
    <row r="193" spans="19:35">
      <c r="S193" s="209"/>
      <c r="T193" s="214">
        <v>108</v>
      </c>
      <c r="U193" s="214">
        <f t="shared" si="15"/>
        <v>230.00000009999999</v>
      </c>
      <c r="V193" s="223" t="s">
        <v>540</v>
      </c>
      <c r="W193" s="223" t="s">
        <v>336</v>
      </c>
      <c r="X193" s="223" t="s">
        <v>325</v>
      </c>
      <c r="Y193" s="224">
        <f t="shared" si="14"/>
        <v>255</v>
      </c>
      <c r="Z193" s="214">
        <v>14</v>
      </c>
      <c r="AA193" s="214">
        <v>108</v>
      </c>
      <c r="AB193" s="214">
        <v>18311</v>
      </c>
      <c r="AC193" s="213">
        <v>5.1499999999999997E-2</v>
      </c>
      <c r="AD193" s="213"/>
      <c r="AF193" s="215" t="s">
        <v>336</v>
      </c>
      <c r="AG193" s="215">
        <v>215</v>
      </c>
      <c r="AH193" s="215">
        <v>255</v>
      </c>
      <c r="AI193" s="215">
        <v>290</v>
      </c>
    </row>
    <row r="194" spans="19:35">
      <c r="S194" s="209"/>
      <c r="T194" s="214">
        <v>109</v>
      </c>
      <c r="U194" s="214">
        <f t="shared" si="15"/>
        <v>255.00000009999999</v>
      </c>
      <c r="V194" s="223" t="s">
        <v>541</v>
      </c>
      <c r="W194" s="223" t="s">
        <v>339</v>
      </c>
      <c r="X194" s="223" t="s">
        <v>327</v>
      </c>
      <c r="Y194" s="224">
        <f t="shared" si="14"/>
        <v>310</v>
      </c>
      <c r="Z194" s="214">
        <v>16</v>
      </c>
      <c r="AA194" s="214">
        <v>109</v>
      </c>
      <c r="AB194" s="214">
        <v>22646</v>
      </c>
      <c r="AC194" s="213">
        <v>3.6700000000000003E-2</v>
      </c>
      <c r="AD194" s="213"/>
      <c r="AF194" s="218" t="s">
        <v>339</v>
      </c>
      <c r="AG194" s="218">
        <v>260</v>
      </c>
      <c r="AH194" s="218">
        <v>310</v>
      </c>
      <c r="AI194" s="218">
        <v>350</v>
      </c>
    </row>
    <row r="195" spans="19:35">
      <c r="S195" s="209"/>
      <c r="T195" s="217">
        <v>110</v>
      </c>
      <c r="U195" s="217">
        <f t="shared" si="15"/>
        <v>310.00000010000002</v>
      </c>
      <c r="V195" s="225" t="s">
        <v>475</v>
      </c>
      <c r="W195" s="225" t="s">
        <v>475</v>
      </c>
      <c r="X195" s="225" t="s">
        <v>475</v>
      </c>
      <c r="Y195" s="226">
        <f>Y194</f>
        <v>310</v>
      </c>
      <c r="Z195" s="217" t="s">
        <v>475</v>
      </c>
      <c r="AA195" s="217">
        <v>110</v>
      </c>
      <c r="AB195" s="227" t="s">
        <v>475</v>
      </c>
      <c r="AC195" s="227" t="s">
        <v>475</v>
      </c>
      <c r="AD195" s="213"/>
    </row>
    <row r="196" spans="19:35">
      <c r="S196" s="209"/>
      <c r="T196" s="200"/>
      <c r="U196" s="200"/>
      <c r="V196" s="230"/>
      <c r="W196" s="230"/>
      <c r="X196" s="230"/>
      <c r="Y196" s="200"/>
      <c r="Z196" s="200"/>
      <c r="AA196" s="200"/>
      <c r="AB196" s="200"/>
      <c r="AC196" s="200"/>
      <c r="AD196" s="213"/>
    </row>
    <row r="197" spans="19:35">
      <c r="S197" s="209"/>
      <c r="T197" s="200">
        <f>VLOOKUP(AA197,T185:AA195,1)</f>
        <v>107</v>
      </c>
      <c r="U197" s="200"/>
      <c r="V197" s="200" t="str">
        <f>VLOOKUP(Q182,U185:AB195,2)</f>
        <v>4/0-4/0-4/0-4/0-4</v>
      </c>
      <c r="W197" s="200" t="str">
        <f>VLOOKUP(Q182,U185:AB195,3)</f>
        <v>#4/0</v>
      </c>
      <c r="X197" s="200" t="str">
        <f>VLOOKUP(Q182,U185:AB195,4)</f>
        <v>#4</v>
      </c>
      <c r="Y197" s="200">
        <f>VLOOKUP(Q182,U185:AB195,5)</f>
        <v>230</v>
      </c>
      <c r="Z197" s="200">
        <f>VLOOKUP(Q182,U185:AB195,6)</f>
        <v>13</v>
      </c>
      <c r="AA197" s="200">
        <f>VLOOKUP(Q182,U185:AB195,7)</f>
        <v>107</v>
      </c>
      <c r="AB197" s="200">
        <f>VLOOKUP(Q182,U185:AB195,8)</f>
        <v>16392</v>
      </c>
      <c r="AC197" s="200">
        <f>VLOOKUP(Q182,U185:AC195,9)</f>
        <v>6.08E-2</v>
      </c>
      <c r="AD197" s="213"/>
    </row>
    <row r="198" spans="19:35">
      <c r="S198" s="209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13"/>
    </row>
    <row r="199" spans="19:35">
      <c r="S199" s="209"/>
      <c r="T199" s="200"/>
      <c r="U199" s="200"/>
      <c r="V199" s="200" t="s">
        <v>513</v>
      </c>
      <c r="W199" s="200"/>
      <c r="X199" s="200"/>
      <c r="Y199" s="200"/>
      <c r="Z199" s="200"/>
      <c r="AA199" s="200" t="str">
        <f>CONCATENATE(V199,W199,X199,Y199)</f>
        <v xml:space="preserve"> MC CABLE</v>
      </c>
      <c r="AB199" s="200"/>
      <c r="AC199" s="200"/>
      <c r="AD199" s="213"/>
    </row>
    <row r="200" spans="19:35">
      <c r="S200" s="209"/>
      <c r="T200" s="200"/>
      <c r="U200" s="200"/>
      <c r="V200" s="200" t="s">
        <v>500</v>
      </c>
      <c r="W200" s="200" t="str">
        <f>W197</f>
        <v>#4/0</v>
      </c>
      <c r="X200" s="200" t="s">
        <v>487</v>
      </c>
      <c r="Y200" s="200" t="s">
        <v>53</v>
      </c>
      <c r="Z200" s="200" t="s">
        <v>53</v>
      </c>
      <c r="AA200" s="200" t="str">
        <f>CONCATENATE(V200,W200,X200,Y200,Z200)</f>
        <v xml:space="preserve"> 4-#4/0 CU  </v>
      </c>
      <c r="AB200" s="200"/>
      <c r="AC200" s="200"/>
      <c r="AD200" s="213"/>
    </row>
    <row r="201" spans="19:35">
      <c r="S201" s="209"/>
      <c r="T201" s="200"/>
      <c r="U201" s="200"/>
      <c r="V201" s="200" t="s">
        <v>481</v>
      </c>
      <c r="W201" s="200" t="str">
        <f>X197</f>
        <v>#4</v>
      </c>
      <c r="X201" s="200" t="s">
        <v>412</v>
      </c>
      <c r="Y201" s="200"/>
      <c r="Z201" s="200"/>
      <c r="AA201" s="200" t="str">
        <f>CONCATENATE(V201,W201,X201,Y201,Z201)</f>
        <v xml:space="preserve"> 1-#4 GND</v>
      </c>
      <c r="AB201" s="200"/>
      <c r="AC201" s="200"/>
      <c r="AD201" s="213"/>
    </row>
    <row r="202" spans="19:35">
      <c r="S202" s="233"/>
      <c r="T202" s="234"/>
      <c r="U202" s="234"/>
      <c r="V202" s="234"/>
      <c r="W202" s="234"/>
      <c r="X202" s="234"/>
      <c r="Y202" s="234"/>
      <c r="Z202" s="234"/>
      <c r="AA202" s="234"/>
      <c r="AB202" s="234"/>
      <c r="AC202" s="234"/>
      <c r="AD202" s="235"/>
    </row>
  </sheetData>
  <phoneticPr fontId="6" type="noConversion"/>
  <conditionalFormatting sqref="T9:AC17 Y6 Y29 Y54 Y82 X99 Y102 Y129 Y155 Y182">
    <cfRule type="expression" dxfId="464" priority="1" stopIfTrue="1">
      <formula>IF($T$19=$T6,TRUE,FALSE)</formula>
    </cfRule>
  </conditionalFormatting>
  <conditionalFormatting sqref="T32:AC41">
    <cfRule type="expression" dxfId="463" priority="2" stopIfTrue="1">
      <formula>IF($T$43=$T32,TRUE,FALSE)</formula>
    </cfRule>
  </conditionalFormatting>
  <conditionalFormatting sqref="T57:AC67">
    <cfRule type="expression" dxfId="462" priority="3" stopIfTrue="1">
      <formula>IF($T$69=$T57,TRUE,FALSE)</formula>
    </cfRule>
  </conditionalFormatting>
  <conditionalFormatting sqref="T85:AC88">
    <cfRule type="expression" dxfId="461" priority="4" stopIfTrue="1">
      <formula>IF($T$90=$T85,TRUE,FALSE)</formula>
    </cfRule>
  </conditionalFormatting>
  <conditionalFormatting sqref="T105:AC115">
    <cfRule type="expression" dxfId="460" priority="5" stopIfTrue="1">
      <formula>IF($T$117=$T105,TRUE,FALSE)</formula>
    </cfRule>
  </conditionalFormatting>
  <conditionalFormatting sqref="T132:AC142">
    <cfRule type="expression" dxfId="459" priority="6" stopIfTrue="1">
      <formula>IF($T$144=$T132,TRUE,FALSE)</formula>
    </cfRule>
  </conditionalFormatting>
  <conditionalFormatting sqref="T158:AC168">
    <cfRule type="expression" dxfId="458" priority="7" stopIfTrue="1">
      <formula>IF($T$170=$T158,TRUE,FALSE)</formula>
    </cfRule>
  </conditionalFormatting>
  <conditionalFormatting sqref="T185:AC195">
    <cfRule type="expression" dxfId="457" priority="8" stopIfTrue="1">
      <formula>IF($T$197=$T185,TRUE,FALSE)</formula>
    </cfRule>
  </conditionalFormatting>
  <conditionalFormatting sqref="C6:M13">
    <cfRule type="expression" dxfId="456" priority="9" stopIfTrue="1">
      <formula>IF($C6=1,TRUE,FALSE)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2:AL36"/>
  <sheetViews>
    <sheetView workbookViewId="0">
      <selection activeCell="B15" sqref="B15"/>
    </sheetView>
  </sheetViews>
  <sheetFormatPr defaultRowHeight="11.25"/>
  <cols>
    <col min="1" max="20" width="9.140625" style="1"/>
    <col min="21" max="21" width="11.7109375" style="1" customWidth="1"/>
    <col min="22" max="16384" width="9.140625" style="1"/>
  </cols>
  <sheetData>
    <row r="2" spans="3:38">
      <c r="G2" s="1" t="s">
        <v>314</v>
      </c>
      <c r="H2" s="1" t="s">
        <v>167</v>
      </c>
      <c r="I2" s="1" t="s">
        <v>41</v>
      </c>
      <c r="J2" s="12" t="s">
        <v>55</v>
      </c>
      <c r="K2" s="12" t="s">
        <v>62</v>
      </c>
      <c r="L2" s="12" t="s">
        <v>680</v>
      </c>
    </row>
    <row r="3" spans="3:38">
      <c r="C3" s="1" t="s">
        <v>658</v>
      </c>
      <c r="F3" s="1" t="s">
        <v>111</v>
      </c>
      <c r="G3" s="1" t="s">
        <v>386</v>
      </c>
      <c r="I3" s="1" t="s">
        <v>677</v>
      </c>
    </row>
    <row r="4" spans="3:38">
      <c r="C4" s="302">
        <f>Import!B7</f>
        <v>1</v>
      </c>
      <c r="D4" s="1" t="s">
        <v>74</v>
      </c>
      <c r="F4" s="407" t="str">
        <f>IF(C4=0,"",Import!I7)</f>
        <v>30</v>
      </c>
      <c r="G4" s="409">
        <f>IF(C4=0,"",Import!BC7)</f>
        <v>0.253</v>
      </c>
      <c r="H4" s="302">
        <f>IF(C4=0,"",Import!BD7)</f>
        <v>98</v>
      </c>
      <c r="I4" s="302">
        <f>IF(C4=0,"",IF(Import!F7=1,1,0.866))</f>
        <v>1</v>
      </c>
      <c r="J4" s="302">
        <f>IF(C4=0,"",ROUND(((2*F4*G4*H4)/1000)*I4,1))</f>
        <v>1.5</v>
      </c>
      <c r="K4" s="302">
        <f>IF(C4=0,"",Input!D$12)</f>
        <v>208</v>
      </c>
      <c r="L4" s="302">
        <f>IF(C4=0,"",ROUND((J4/K4*100),1))</f>
        <v>0.7</v>
      </c>
      <c r="O4" s="1" t="s">
        <v>681</v>
      </c>
      <c r="P4" s="19" t="str">
        <f>TEXT(F4,"#,##0")</f>
        <v>30</v>
      </c>
      <c r="Q4" s="406" t="s">
        <v>419</v>
      </c>
      <c r="R4" s="1" t="str">
        <f>TEXT(G4,"0.0000")</f>
        <v>0.2530</v>
      </c>
      <c r="S4" s="1" t="s">
        <v>423</v>
      </c>
      <c r="T4" s="1" t="str">
        <f>TEXT(H4,"#,##0")</f>
        <v>98</v>
      </c>
      <c r="U4" s="1" t="s">
        <v>682</v>
      </c>
      <c r="V4" s="1">
        <f>I4</f>
        <v>1</v>
      </c>
      <c r="W4" s="1" t="s">
        <v>424</v>
      </c>
      <c r="X4" s="1" t="str">
        <f>TEXT(J4,"0.0")</f>
        <v>1.5</v>
      </c>
      <c r="Y4" s="1" t="s">
        <v>435</v>
      </c>
      <c r="Z4" s="1" t="str">
        <f>IF(C4=0,"",CONCATENATE(O4,P4,Q4,R4,S4,T4,U4,V4,W4,X4,Y4))</f>
        <v>( 2 X 30' L X 0.2530 R X 98 A ÷ 1,000 X 1 ) = 1.5 VD</v>
      </c>
      <c r="AE4" s="1" t="s">
        <v>180</v>
      </c>
      <c r="AF4" s="1" t="str">
        <f>TEXT(J4,"0.0")</f>
        <v>1.5</v>
      </c>
      <c r="AG4" s="1" t="s">
        <v>416</v>
      </c>
      <c r="AH4" s="1" t="str">
        <f>TEXT(K4,"0")</f>
        <v>208</v>
      </c>
      <c r="AI4" s="1" t="s">
        <v>683</v>
      </c>
      <c r="AJ4" s="1" t="str">
        <f>TEXT(L4,"0.0")</f>
        <v>0.7</v>
      </c>
      <c r="AK4" s="1" t="s">
        <v>430</v>
      </c>
      <c r="AL4" s="1" t="str">
        <f>IF(C4=0,"",CONCATENATE(AE4,AF4,AG4,AH4,AI4,AJ4,AK4))</f>
        <v>( 1.5 VD ÷ 208 V X 100 ) = 0.7 % VD</v>
      </c>
    </row>
    <row r="5" spans="3:38">
      <c r="C5" s="302">
        <f>Import!B8</f>
        <v>1</v>
      </c>
      <c r="D5" s="1" t="s">
        <v>75</v>
      </c>
      <c r="F5" s="407" t="str">
        <f>IF(C5=0,"",Import!I8)</f>
        <v>30</v>
      </c>
      <c r="G5" s="409">
        <f>IF(C5=0,"",Import!BC8)</f>
        <v>0.253</v>
      </c>
      <c r="H5" s="302">
        <f>IF(C5=0,"",Import!BD8)</f>
        <v>98</v>
      </c>
      <c r="I5" s="302">
        <f>IF(C5=0,"",IF(Import!F8=1,1,0.866))</f>
        <v>1</v>
      </c>
      <c r="J5" s="302">
        <f t="shared" ref="J5:J33" si="0">IF(C5=0,"",ROUND(((2*F5*G5*H5)/1000)*I5,1))</f>
        <v>1.5</v>
      </c>
      <c r="K5" s="302">
        <f>IF(C5=0,"",Input!D$12)</f>
        <v>208</v>
      </c>
      <c r="L5" s="302">
        <f t="shared" ref="L5:L33" si="1">IF(C5=0,"",ROUND((J5/K5*100),1))</f>
        <v>0.7</v>
      </c>
      <c r="O5" s="1" t="s">
        <v>681</v>
      </c>
      <c r="P5" s="19" t="str">
        <f t="shared" ref="P5:P33" si="2">TEXT(F5,"#,##0")</f>
        <v>30</v>
      </c>
      <c r="Q5" s="406" t="s">
        <v>419</v>
      </c>
      <c r="R5" s="1" t="str">
        <f t="shared" ref="R5:R33" si="3">TEXT(G5,"0.0000")</f>
        <v>0.2530</v>
      </c>
      <c r="S5" s="1" t="s">
        <v>423</v>
      </c>
      <c r="T5" s="1" t="str">
        <f t="shared" ref="T5:T33" si="4">TEXT(H5,"#,##0")</f>
        <v>98</v>
      </c>
      <c r="U5" s="1" t="s">
        <v>682</v>
      </c>
      <c r="V5" s="1">
        <f t="shared" ref="V5:V33" si="5">I5</f>
        <v>1</v>
      </c>
      <c r="W5" s="1" t="s">
        <v>424</v>
      </c>
      <c r="X5" s="1" t="str">
        <f t="shared" ref="X5:X33" si="6">TEXT(J5,"0.0")</f>
        <v>1.5</v>
      </c>
      <c r="Y5" s="1" t="s">
        <v>435</v>
      </c>
      <c r="Z5" s="1" t="str">
        <f t="shared" ref="Z5:Z33" si="7">IF(C5=0,"",CONCATENATE(O5,P5,Q5,R5,S5,T5,U5,V5,W5,X5,Y5))</f>
        <v>( 2 X 30' L X 0.2530 R X 98 A ÷ 1,000 X 1 ) = 1.5 VD</v>
      </c>
      <c r="AE5" s="1" t="s">
        <v>180</v>
      </c>
      <c r="AF5" s="1" t="str">
        <f t="shared" ref="AF5:AF33" si="8">TEXT(J5,"0.0")</f>
        <v>1.5</v>
      </c>
      <c r="AG5" s="1" t="s">
        <v>416</v>
      </c>
      <c r="AH5" s="1" t="str">
        <f t="shared" ref="AH5:AH33" si="9">TEXT(K5,"0")</f>
        <v>208</v>
      </c>
      <c r="AI5" s="1" t="s">
        <v>683</v>
      </c>
      <c r="AJ5" s="1" t="str">
        <f t="shared" ref="AJ5:AJ33" si="10">TEXT(L5,"0.0")</f>
        <v>0.7</v>
      </c>
      <c r="AK5" s="1" t="s">
        <v>430</v>
      </c>
      <c r="AL5" s="1" t="str">
        <f t="shared" ref="AL5:AL33" si="11">IF(C5=0,"",CONCATENATE(AE5,AF5,AG5,AH5,AI5,AJ5,AK5))</f>
        <v>( 1.5 VD ÷ 208 V X 100 ) = 0.7 % VD</v>
      </c>
    </row>
    <row r="6" spans="3:38">
      <c r="C6" s="302">
        <f>Import!B9</f>
        <v>1</v>
      </c>
      <c r="D6" s="1" t="s">
        <v>76</v>
      </c>
      <c r="F6" s="407" t="str">
        <f>IF(C6=0,"",Import!I9)</f>
        <v>30</v>
      </c>
      <c r="G6" s="409">
        <f>IF(C6=0,"",Import!BC9)</f>
        <v>0.253</v>
      </c>
      <c r="H6" s="302">
        <f>IF(C6=0,"",Import!BD9)</f>
        <v>98</v>
      </c>
      <c r="I6" s="302">
        <f>IF(C6=0,"",IF(Import!F9=1,1,0.866))</f>
        <v>1</v>
      </c>
      <c r="J6" s="302">
        <f t="shared" si="0"/>
        <v>1.5</v>
      </c>
      <c r="K6" s="302">
        <f>IF(C6=0,"",Input!D$12)</f>
        <v>208</v>
      </c>
      <c r="L6" s="302">
        <f t="shared" si="1"/>
        <v>0.7</v>
      </c>
      <c r="O6" s="1" t="s">
        <v>681</v>
      </c>
      <c r="P6" s="19" t="str">
        <f t="shared" si="2"/>
        <v>30</v>
      </c>
      <c r="Q6" s="406" t="s">
        <v>419</v>
      </c>
      <c r="R6" s="1" t="str">
        <f t="shared" si="3"/>
        <v>0.2530</v>
      </c>
      <c r="S6" s="1" t="s">
        <v>423</v>
      </c>
      <c r="T6" s="1" t="str">
        <f t="shared" si="4"/>
        <v>98</v>
      </c>
      <c r="U6" s="1" t="s">
        <v>682</v>
      </c>
      <c r="V6" s="1">
        <f t="shared" si="5"/>
        <v>1</v>
      </c>
      <c r="W6" s="1" t="s">
        <v>424</v>
      </c>
      <c r="X6" s="1" t="str">
        <f t="shared" si="6"/>
        <v>1.5</v>
      </c>
      <c r="Y6" s="1" t="s">
        <v>435</v>
      </c>
      <c r="Z6" s="1" t="str">
        <f t="shared" si="7"/>
        <v>( 2 X 30' L X 0.2530 R X 98 A ÷ 1,000 X 1 ) = 1.5 VD</v>
      </c>
      <c r="AE6" s="1" t="s">
        <v>180</v>
      </c>
      <c r="AF6" s="1" t="str">
        <f t="shared" si="8"/>
        <v>1.5</v>
      </c>
      <c r="AG6" s="1" t="s">
        <v>416</v>
      </c>
      <c r="AH6" s="1" t="str">
        <f t="shared" si="9"/>
        <v>208</v>
      </c>
      <c r="AI6" s="1" t="s">
        <v>683</v>
      </c>
      <c r="AJ6" s="1" t="str">
        <f t="shared" si="10"/>
        <v>0.7</v>
      </c>
      <c r="AK6" s="1" t="s">
        <v>430</v>
      </c>
      <c r="AL6" s="1" t="str">
        <f t="shared" si="11"/>
        <v>( 1.5 VD ÷ 208 V X 100 ) = 0.7 % VD</v>
      </c>
    </row>
    <row r="7" spans="3:38">
      <c r="C7" s="302">
        <f>Import!B10</f>
        <v>1</v>
      </c>
      <c r="D7" s="1" t="s">
        <v>77</v>
      </c>
      <c r="F7" s="407" t="str">
        <f>IF(C7=0,"",Import!I10)</f>
        <v>30</v>
      </c>
      <c r="G7" s="409">
        <f>IF(C7=0,"",Import!BC10)</f>
        <v>0.253</v>
      </c>
      <c r="H7" s="302">
        <f>IF(C7=0,"",Import!BD10)</f>
        <v>98</v>
      </c>
      <c r="I7" s="302">
        <f>IF(C7=0,"",IF(Import!F10=1,1,0.866))</f>
        <v>1</v>
      </c>
      <c r="J7" s="302">
        <f t="shared" si="0"/>
        <v>1.5</v>
      </c>
      <c r="K7" s="302">
        <f>IF(C7=0,"",Input!D$12)</f>
        <v>208</v>
      </c>
      <c r="L7" s="302">
        <f t="shared" si="1"/>
        <v>0.7</v>
      </c>
      <c r="O7" s="1" t="s">
        <v>681</v>
      </c>
      <c r="P7" s="19" t="str">
        <f t="shared" si="2"/>
        <v>30</v>
      </c>
      <c r="Q7" s="406" t="s">
        <v>419</v>
      </c>
      <c r="R7" s="1" t="str">
        <f t="shared" si="3"/>
        <v>0.2530</v>
      </c>
      <c r="S7" s="1" t="s">
        <v>423</v>
      </c>
      <c r="T7" s="1" t="str">
        <f t="shared" si="4"/>
        <v>98</v>
      </c>
      <c r="U7" s="1" t="s">
        <v>682</v>
      </c>
      <c r="V7" s="1">
        <f t="shared" si="5"/>
        <v>1</v>
      </c>
      <c r="W7" s="1" t="s">
        <v>424</v>
      </c>
      <c r="X7" s="1" t="str">
        <f t="shared" si="6"/>
        <v>1.5</v>
      </c>
      <c r="Y7" s="1" t="s">
        <v>435</v>
      </c>
      <c r="Z7" s="1" t="str">
        <f t="shared" si="7"/>
        <v>( 2 X 30' L X 0.2530 R X 98 A ÷ 1,000 X 1 ) = 1.5 VD</v>
      </c>
      <c r="AE7" s="1" t="s">
        <v>180</v>
      </c>
      <c r="AF7" s="1" t="str">
        <f t="shared" si="8"/>
        <v>1.5</v>
      </c>
      <c r="AG7" s="1" t="s">
        <v>416</v>
      </c>
      <c r="AH7" s="1" t="str">
        <f t="shared" si="9"/>
        <v>208</v>
      </c>
      <c r="AI7" s="1" t="s">
        <v>683</v>
      </c>
      <c r="AJ7" s="1" t="str">
        <f t="shared" si="10"/>
        <v>0.7</v>
      </c>
      <c r="AK7" s="1" t="s">
        <v>430</v>
      </c>
      <c r="AL7" s="1" t="str">
        <f t="shared" si="11"/>
        <v>( 1.5 VD ÷ 208 V X 100 ) = 0.7 % VD</v>
      </c>
    </row>
    <row r="8" spans="3:38">
      <c r="C8" s="302">
        <f>Import!B11</f>
        <v>1</v>
      </c>
      <c r="D8" s="1" t="s">
        <v>78</v>
      </c>
      <c r="F8" s="407" t="str">
        <f>IF(C8=0,"",Import!I11)</f>
        <v>30</v>
      </c>
      <c r="G8" s="409">
        <f>IF(C8=0,"",Import!BC11)</f>
        <v>0.253</v>
      </c>
      <c r="H8" s="302">
        <f>IF(C8=0,"",Import!BD11)</f>
        <v>98</v>
      </c>
      <c r="I8" s="302">
        <f>IF(C8=0,"",IF(Import!F11=1,1,0.866))</f>
        <v>1</v>
      </c>
      <c r="J8" s="302">
        <f t="shared" si="0"/>
        <v>1.5</v>
      </c>
      <c r="K8" s="302">
        <f>IF(C8=0,"",Input!D$12)</f>
        <v>208</v>
      </c>
      <c r="L8" s="302">
        <f t="shared" si="1"/>
        <v>0.7</v>
      </c>
      <c r="O8" s="1" t="s">
        <v>681</v>
      </c>
      <c r="P8" s="19" t="str">
        <f t="shared" si="2"/>
        <v>30</v>
      </c>
      <c r="Q8" s="406" t="s">
        <v>419</v>
      </c>
      <c r="R8" s="1" t="str">
        <f t="shared" si="3"/>
        <v>0.2530</v>
      </c>
      <c r="S8" s="1" t="s">
        <v>423</v>
      </c>
      <c r="T8" s="1" t="str">
        <f t="shared" si="4"/>
        <v>98</v>
      </c>
      <c r="U8" s="1" t="s">
        <v>682</v>
      </c>
      <c r="V8" s="1">
        <f t="shared" si="5"/>
        <v>1</v>
      </c>
      <c r="W8" s="1" t="s">
        <v>424</v>
      </c>
      <c r="X8" s="1" t="str">
        <f t="shared" si="6"/>
        <v>1.5</v>
      </c>
      <c r="Y8" s="1" t="s">
        <v>435</v>
      </c>
      <c r="Z8" s="1" t="str">
        <f t="shared" si="7"/>
        <v>( 2 X 30' L X 0.2530 R X 98 A ÷ 1,000 X 1 ) = 1.5 VD</v>
      </c>
      <c r="AE8" s="1" t="s">
        <v>180</v>
      </c>
      <c r="AF8" s="1" t="str">
        <f t="shared" si="8"/>
        <v>1.5</v>
      </c>
      <c r="AG8" s="1" t="s">
        <v>416</v>
      </c>
      <c r="AH8" s="1" t="str">
        <f t="shared" si="9"/>
        <v>208</v>
      </c>
      <c r="AI8" s="1" t="s">
        <v>683</v>
      </c>
      <c r="AJ8" s="1" t="str">
        <f t="shared" si="10"/>
        <v>0.7</v>
      </c>
      <c r="AK8" s="1" t="s">
        <v>430</v>
      </c>
      <c r="AL8" s="1" t="str">
        <f t="shared" si="11"/>
        <v>( 1.5 VD ÷ 208 V X 100 ) = 0.7 % VD</v>
      </c>
    </row>
    <row r="9" spans="3:38">
      <c r="C9" s="302">
        <f>Import!B12</f>
        <v>1</v>
      </c>
      <c r="D9" s="1" t="s">
        <v>79</v>
      </c>
      <c r="F9" s="407" t="str">
        <f>IF(C9=0,"",Import!I12)</f>
        <v>30</v>
      </c>
      <c r="G9" s="409">
        <f>IF(C9=0,"",Import!BC12)</f>
        <v>0.253</v>
      </c>
      <c r="H9" s="302">
        <f>IF(C9=0,"",Import!BD12)</f>
        <v>98</v>
      </c>
      <c r="I9" s="302">
        <f>IF(C9=0,"",IF(Import!F12=1,1,0.866))</f>
        <v>1</v>
      </c>
      <c r="J9" s="302">
        <f t="shared" si="0"/>
        <v>1.5</v>
      </c>
      <c r="K9" s="302">
        <f>IF(C9=0,"",Input!D$12)</f>
        <v>208</v>
      </c>
      <c r="L9" s="302">
        <f t="shared" si="1"/>
        <v>0.7</v>
      </c>
      <c r="O9" s="1" t="s">
        <v>681</v>
      </c>
      <c r="P9" s="19" t="str">
        <f t="shared" si="2"/>
        <v>30</v>
      </c>
      <c r="Q9" s="406" t="s">
        <v>419</v>
      </c>
      <c r="R9" s="1" t="str">
        <f t="shared" si="3"/>
        <v>0.2530</v>
      </c>
      <c r="S9" s="1" t="s">
        <v>423</v>
      </c>
      <c r="T9" s="1" t="str">
        <f t="shared" si="4"/>
        <v>98</v>
      </c>
      <c r="U9" s="1" t="s">
        <v>682</v>
      </c>
      <c r="V9" s="1">
        <f t="shared" si="5"/>
        <v>1</v>
      </c>
      <c r="W9" s="1" t="s">
        <v>424</v>
      </c>
      <c r="X9" s="1" t="str">
        <f t="shared" si="6"/>
        <v>1.5</v>
      </c>
      <c r="Y9" s="1" t="s">
        <v>435</v>
      </c>
      <c r="Z9" s="1" t="str">
        <f t="shared" si="7"/>
        <v>( 2 X 30' L X 0.2530 R X 98 A ÷ 1,000 X 1 ) = 1.5 VD</v>
      </c>
      <c r="AE9" s="1" t="s">
        <v>180</v>
      </c>
      <c r="AF9" s="1" t="str">
        <f t="shared" si="8"/>
        <v>1.5</v>
      </c>
      <c r="AG9" s="1" t="s">
        <v>416</v>
      </c>
      <c r="AH9" s="1" t="str">
        <f t="shared" si="9"/>
        <v>208</v>
      </c>
      <c r="AI9" s="1" t="s">
        <v>683</v>
      </c>
      <c r="AJ9" s="1" t="str">
        <f t="shared" si="10"/>
        <v>0.7</v>
      </c>
      <c r="AK9" s="1" t="s">
        <v>430</v>
      </c>
      <c r="AL9" s="1" t="str">
        <f t="shared" si="11"/>
        <v>( 1.5 VD ÷ 208 V X 100 ) = 0.7 % VD</v>
      </c>
    </row>
    <row r="10" spans="3:38">
      <c r="C10" s="302">
        <f>Import!B13</f>
        <v>0</v>
      </c>
      <c r="D10" s="1" t="s">
        <v>80</v>
      </c>
      <c r="F10" s="407" t="str">
        <f>IF(C10=0,"",Import!I13)</f>
        <v/>
      </c>
      <c r="G10" s="409" t="str">
        <f>IF(C10=0,"",Import!BC13)</f>
        <v/>
      </c>
      <c r="H10" s="302" t="str">
        <f>IF(C10=0,"",Import!BD13)</f>
        <v/>
      </c>
      <c r="I10" s="302" t="str">
        <f>IF(C10=0,"",IF(Import!F13=1,1,0.866))</f>
        <v/>
      </c>
      <c r="J10" s="302" t="str">
        <f t="shared" si="0"/>
        <v/>
      </c>
      <c r="K10" s="302" t="str">
        <f>IF(C10=0,"",Input!D$12)</f>
        <v/>
      </c>
      <c r="L10" s="302" t="str">
        <f t="shared" si="1"/>
        <v/>
      </c>
      <c r="O10" s="1" t="s">
        <v>681</v>
      </c>
      <c r="P10" s="19" t="str">
        <f t="shared" si="2"/>
        <v/>
      </c>
      <c r="Q10" s="406" t="s">
        <v>419</v>
      </c>
      <c r="R10" s="1" t="str">
        <f t="shared" si="3"/>
        <v/>
      </c>
      <c r="S10" s="1" t="s">
        <v>423</v>
      </c>
      <c r="T10" s="1" t="str">
        <f t="shared" si="4"/>
        <v/>
      </c>
      <c r="U10" s="1" t="s">
        <v>682</v>
      </c>
      <c r="V10" s="1" t="str">
        <f t="shared" si="5"/>
        <v/>
      </c>
      <c r="W10" s="1" t="s">
        <v>424</v>
      </c>
      <c r="X10" s="1" t="str">
        <f t="shared" si="6"/>
        <v/>
      </c>
      <c r="Y10" s="1" t="s">
        <v>435</v>
      </c>
      <c r="Z10" s="1" t="str">
        <f t="shared" si="7"/>
        <v/>
      </c>
      <c r="AE10" s="1" t="s">
        <v>180</v>
      </c>
      <c r="AF10" s="1" t="str">
        <f t="shared" si="8"/>
        <v/>
      </c>
      <c r="AG10" s="1" t="s">
        <v>416</v>
      </c>
      <c r="AH10" s="1" t="str">
        <f t="shared" si="9"/>
        <v/>
      </c>
      <c r="AI10" s="1" t="s">
        <v>683</v>
      </c>
      <c r="AJ10" s="1" t="str">
        <f t="shared" si="10"/>
        <v/>
      </c>
      <c r="AK10" s="1" t="s">
        <v>430</v>
      </c>
      <c r="AL10" s="1" t="str">
        <f t="shared" si="11"/>
        <v/>
      </c>
    </row>
    <row r="11" spans="3:38">
      <c r="C11" s="302">
        <f>Import!B14</f>
        <v>0</v>
      </c>
      <c r="D11" s="1" t="s">
        <v>81</v>
      </c>
      <c r="F11" s="407" t="str">
        <f>IF(C11=0,"",Import!I14)</f>
        <v/>
      </c>
      <c r="G11" s="409" t="str">
        <f>IF(C11=0,"",Import!BC14)</f>
        <v/>
      </c>
      <c r="H11" s="302" t="str">
        <f>IF(C11=0,"",Import!BD14)</f>
        <v/>
      </c>
      <c r="I11" s="302" t="str">
        <f>IF(C11=0,"",IF(Import!F14=1,1,0.866))</f>
        <v/>
      </c>
      <c r="J11" s="302" t="str">
        <f t="shared" si="0"/>
        <v/>
      </c>
      <c r="K11" s="302" t="str">
        <f>IF(C11=0,"",Input!D$12)</f>
        <v/>
      </c>
      <c r="L11" s="302" t="str">
        <f t="shared" si="1"/>
        <v/>
      </c>
      <c r="O11" s="1" t="s">
        <v>681</v>
      </c>
      <c r="P11" s="19" t="str">
        <f t="shared" si="2"/>
        <v/>
      </c>
      <c r="Q11" s="406" t="s">
        <v>419</v>
      </c>
      <c r="R11" s="1" t="str">
        <f t="shared" si="3"/>
        <v/>
      </c>
      <c r="S11" s="1" t="s">
        <v>423</v>
      </c>
      <c r="T11" s="1" t="str">
        <f t="shared" si="4"/>
        <v/>
      </c>
      <c r="U11" s="1" t="s">
        <v>682</v>
      </c>
      <c r="V11" s="1" t="str">
        <f t="shared" si="5"/>
        <v/>
      </c>
      <c r="W11" s="1" t="s">
        <v>424</v>
      </c>
      <c r="X11" s="1" t="str">
        <f t="shared" si="6"/>
        <v/>
      </c>
      <c r="Y11" s="1" t="s">
        <v>435</v>
      </c>
      <c r="Z11" s="1" t="str">
        <f t="shared" si="7"/>
        <v/>
      </c>
      <c r="AE11" s="1" t="s">
        <v>180</v>
      </c>
      <c r="AF11" s="1" t="str">
        <f t="shared" si="8"/>
        <v/>
      </c>
      <c r="AG11" s="1" t="s">
        <v>416</v>
      </c>
      <c r="AH11" s="1" t="str">
        <f t="shared" si="9"/>
        <v/>
      </c>
      <c r="AI11" s="1" t="s">
        <v>683</v>
      </c>
      <c r="AJ11" s="1" t="str">
        <f t="shared" si="10"/>
        <v/>
      </c>
      <c r="AK11" s="1" t="s">
        <v>430</v>
      </c>
      <c r="AL11" s="1" t="str">
        <f t="shared" si="11"/>
        <v/>
      </c>
    </row>
    <row r="12" spans="3:38">
      <c r="C12" s="302">
        <f>Import!B15</f>
        <v>0</v>
      </c>
      <c r="D12" s="1" t="s">
        <v>82</v>
      </c>
      <c r="F12" s="407" t="str">
        <f>IF(C12=0,"",Import!I15)</f>
        <v/>
      </c>
      <c r="G12" s="409" t="str">
        <f>IF(C12=0,"",Import!BC15)</f>
        <v/>
      </c>
      <c r="H12" s="302" t="str">
        <f>IF(C12=0,"",Import!BD15)</f>
        <v/>
      </c>
      <c r="I12" s="302" t="str">
        <f>IF(C12=0,"",IF(Import!F15=1,1,0.866))</f>
        <v/>
      </c>
      <c r="J12" s="302" t="str">
        <f t="shared" si="0"/>
        <v/>
      </c>
      <c r="K12" s="302" t="str">
        <f>IF(C12=0,"",Input!D$12)</f>
        <v/>
      </c>
      <c r="L12" s="302" t="str">
        <f t="shared" si="1"/>
        <v/>
      </c>
      <c r="O12" s="1" t="s">
        <v>681</v>
      </c>
      <c r="P12" s="19" t="str">
        <f t="shared" si="2"/>
        <v/>
      </c>
      <c r="Q12" s="406" t="s">
        <v>419</v>
      </c>
      <c r="R12" s="1" t="str">
        <f t="shared" si="3"/>
        <v/>
      </c>
      <c r="S12" s="1" t="s">
        <v>423</v>
      </c>
      <c r="T12" s="1" t="str">
        <f t="shared" si="4"/>
        <v/>
      </c>
      <c r="U12" s="1" t="s">
        <v>682</v>
      </c>
      <c r="V12" s="1" t="str">
        <f t="shared" si="5"/>
        <v/>
      </c>
      <c r="W12" s="1" t="s">
        <v>424</v>
      </c>
      <c r="X12" s="1" t="str">
        <f t="shared" si="6"/>
        <v/>
      </c>
      <c r="Y12" s="1" t="s">
        <v>435</v>
      </c>
      <c r="Z12" s="1" t="str">
        <f t="shared" si="7"/>
        <v/>
      </c>
      <c r="AE12" s="1" t="s">
        <v>180</v>
      </c>
      <c r="AF12" s="1" t="str">
        <f t="shared" si="8"/>
        <v/>
      </c>
      <c r="AG12" s="1" t="s">
        <v>416</v>
      </c>
      <c r="AH12" s="1" t="str">
        <f t="shared" si="9"/>
        <v/>
      </c>
      <c r="AI12" s="1" t="s">
        <v>683</v>
      </c>
      <c r="AJ12" s="1" t="str">
        <f t="shared" si="10"/>
        <v/>
      </c>
      <c r="AK12" s="1" t="s">
        <v>430</v>
      </c>
      <c r="AL12" s="1" t="str">
        <f t="shared" si="11"/>
        <v/>
      </c>
    </row>
    <row r="13" spans="3:38">
      <c r="C13" s="302">
        <f>Import!B16</f>
        <v>0</v>
      </c>
      <c r="D13" s="1" t="s">
        <v>83</v>
      </c>
      <c r="F13" s="407" t="str">
        <f>IF(C13=0,"",Import!I16)</f>
        <v/>
      </c>
      <c r="G13" s="409" t="str">
        <f>IF(C13=0,"",Import!BC16)</f>
        <v/>
      </c>
      <c r="H13" s="302" t="str">
        <f>IF(C13=0,"",Import!BD16)</f>
        <v/>
      </c>
      <c r="I13" s="302" t="str">
        <f>IF(C13=0,"",IF(Import!F16=1,1,0.866))</f>
        <v/>
      </c>
      <c r="J13" s="302" t="str">
        <f t="shared" si="0"/>
        <v/>
      </c>
      <c r="K13" s="302" t="str">
        <f>IF(C13=0,"",Input!D$12)</f>
        <v/>
      </c>
      <c r="L13" s="302" t="str">
        <f t="shared" si="1"/>
        <v/>
      </c>
      <c r="O13" s="1" t="s">
        <v>681</v>
      </c>
      <c r="P13" s="19" t="str">
        <f t="shared" si="2"/>
        <v/>
      </c>
      <c r="Q13" s="406" t="s">
        <v>419</v>
      </c>
      <c r="R13" s="1" t="str">
        <f t="shared" si="3"/>
        <v/>
      </c>
      <c r="S13" s="1" t="s">
        <v>423</v>
      </c>
      <c r="T13" s="1" t="str">
        <f t="shared" si="4"/>
        <v/>
      </c>
      <c r="U13" s="1" t="s">
        <v>682</v>
      </c>
      <c r="V13" s="1" t="str">
        <f t="shared" si="5"/>
        <v/>
      </c>
      <c r="W13" s="1" t="s">
        <v>424</v>
      </c>
      <c r="X13" s="1" t="str">
        <f t="shared" si="6"/>
        <v/>
      </c>
      <c r="Y13" s="1" t="s">
        <v>435</v>
      </c>
      <c r="Z13" s="1" t="str">
        <f t="shared" si="7"/>
        <v/>
      </c>
      <c r="AE13" s="1" t="s">
        <v>180</v>
      </c>
      <c r="AF13" s="1" t="str">
        <f t="shared" si="8"/>
        <v/>
      </c>
      <c r="AG13" s="1" t="s">
        <v>416</v>
      </c>
      <c r="AH13" s="1" t="str">
        <f t="shared" si="9"/>
        <v/>
      </c>
      <c r="AI13" s="1" t="s">
        <v>683</v>
      </c>
      <c r="AJ13" s="1" t="str">
        <f t="shared" si="10"/>
        <v/>
      </c>
      <c r="AK13" s="1" t="s">
        <v>430</v>
      </c>
      <c r="AL13" s="1" t="str">
        <f t="shared" si="11"/>
        <v/>
      </c>
    </row>
    <row r="14" spans="3:38">
      <c r="C14" s="302">
        <f>Import!B17</f>
        <v>0</v>
      </c>
      <c r="D14" s="1" t="s">
        <v>84</v>
      </c>
      <c r="F14" s="407" t="str">
        <f>IF(C14=0,"",Import!I17)</f>
        <v/>
      </c>
      <c r="G14" s="409" t="str">
        <f>IF(C14=0,"",Import!BC17)</f>
        <v/>
      </c>
      <c r="H14" s="302" t="str">
        <f>IF(C14=0,"",Import!BD17)</f>
        <v/>
      </c>
      <c r="I14" s="302" t="str">
        <f>IF(C14=0,"",IF(Import!F17=1,1,0.866))</f>
        <v/>
      </c>
      <c r="J14" s="302" t="str">
        <f t="shared" si="0"/>
        <v/>
      </c>
      <c r="K14" s="302" t="str">
        <f>IF(C14=0,"",Input!D$12)</f>
        <v/>
      </c>
      <c r="L14" s="302" t="str">
        <f t="shared" si="1"/>
        <v/>
      </c>
      <c r="O14" s="1" t="s">
        <v>681</v>
      </c>
      <c r="P14" s="19" t="str">
        <f t="shared" si="2"/>
        <v/>
      </c>
      <c r="Q14" s="406" t="s">
        <v>419</v>
      </c>
      <c r="R14" s="1" t="str">
        <f t="shared" si="3"/>
        <v/>
      </c>
      <c r="S14" s="1" t="s">
        <v>423</v>
      </c>
      <c r="T14" s="1" t="str">
        <f t="shared" si="4"/>
        <v/>
      </c>
      <c r="U14" s="1" t="s">
        <v>682</v>
      </c>
      <c r="V14" s="1" t="str">
        <f t="shared" si="5"/>
        <v/>
      </c>
      <c r="W14" s="1" t="s">
        <v>424</v>
      </c>
      <c r="X14" s="1" t="str">
        <f t="shared" si="6"/>
        <v/>
      </c>
      <c r="Y14" s="1" t="s">
        <v>435</v>
      </c>
      <c r="Z14" s="1" t="str">
        <f t="shared" si="7"/>
        <v/>
      </c>
      <c r="AE14" s="1" t="s">
        <v>180</v>
      </c>
      <c r="AF14" s="1" t="str">
        <f t="shared" si="8"/>
        <v/>
      </c>
      <c r="AG14" s="1" t="s">
        <v>416</v>
      </c>
      <c r="AH14" s="1" t="str">
        <f t="shared" si="9"/>
        <v/>
      </c>
      <c r="AI14" s="1" t="s">
        <v>683</v>
      </c>
      <c r="AJ14" s="1" t="str">
        <f t="shared" si="10"/>
        <v/>
      </c>
      <c r="AK14" s="1" t="s">
        <v>430</v>
      </c>
      <c r="AL14" s="1" t="str">
        <f t="shared" si="11"/>
        <v/>
      </c>
    </row>
    <row r="15" spans="3:38">
      <c r="C15" s="302">
        <f>Import!B18</f>
        <v>0</v>
      </c>
      <c r="D15" s="1" t="s">
        <v>85</v>
      </c>
      <c r="F15" s="407" t="str">
        <f>IF(C15=0,"",Import!I18)</f>
        <v/>
      </c>
      <c r="G15" s="409" t="str">
        <f>IF(C15=0,"",Import!BC18)</f>
        <v/>
      </c>
      <c r="H15" s="302" t="str">
        <f>IF(C15=0,"",Import!BD18)</f>
        <v/>
      </c>
      <c r="I15" s="302" t="str">
        <f>IF(C15=0,"",IF(Import!F18=1,1,0.866))</f>
        <v/>
      </c>
      <c r="J15" s="302" t="str">
        <f t="shared" si="0"/>
        <v/>
      </c>
      <c r="K15" s="302" t="str">
        <f>IF(C15=0,"",Input!D$12)</f>
        <v/>
      </c>
      <c r="L15" s="302" t="str">
        <f t="shared" si="1"/>
        <v/>
      </c>
      <c r="O15" s="1" t="s">
        <v>681</v>
      </c>
      <c r="P15" s="19" t="str">
        <f t="shared" si="2"/>
        <v/>
      </c>
      <c r="Q15" s="406" t="s">
        <v>419</v>
      </c>
      <c r="R15" s="1" t="str">
        <f t="shared" si="3"/>
        <v/>
      </c>
      <c r="S15" s="1" t="s">
        <v>423</v>
      </c>
      <c r="T15" s="1" t="str">
        <f t="shared" si="4"/>
        <v/>
      </c>
      <c r="U15" s="1" t="s">
        <v>682</v>
      </c>
      <c r="V15" s="1" t="str">
        <f t="shared" si="5"/>
        <v/>
      </c>
      <c r="W15" s="1" t="s">
        <v>424</v>
      </c>
      <c r="X15" s="1" t="str">
        <f t="shared" si="6"/>
        <v/>
      </c>
      <c r="Y15" s="1" t="s">
        <v>435</v>
      </c>
      <c r="Z15" s="1" t="str">
        <f t="shared" si="7"/>
        <v/>
      </c>
      <c r="AE15" s="1" t="s">
        <v>180</v>
      </c>
      <c r="AF15" s="1" t="str">
        <f t="shared" si="8"/>
        <v/>
      </c>
      <c r="AG15" s="1" t="s">
        <v>416</v>
      </c>
      <c r="AH15" s="1" t="str">
        <f t="shared" si="9"/>
        <v/>
      </c>
      <c r="AI15" s="1" t="s">
        <v>683</v>
      </c>
      <c r="AJ15" s="1" t="str">
        <f t="shared" si="10"/>
        <v/>
      </c>
      <c r="AK15" s="1" t="s">
        <v>430</v>
      </c>
      <c r="AL15" s="1" t="str">
        <f t="shared" si="11"/>
        <v/>
      </c>
    </row>
    <row r="16" spans="3:38">
      <c r="C16" s="302">
        <f>Import!B19</f>
        <v>0</v>
      </c>
      <c r="D16" s="1" t="s">
        <v>86</v>
      </c>
      <c r="F16" s="407" t="str">
        <f>IF(C16=0,"",Import!I19)</f>
        <v/>
      </c>
      <c r="G16" s="409" t="str">
        <f>IF(C16=0,"",Import!BC19)</f>
        <v/>
      </c>
      <c r="H16" s="302" t="str">
        <f>IF(C16=0,"",Import!BD19)</f>
        <v/>
      </c>
      <c r="I16" s="302" t="str">
        <f>IF(C16=0,"",IF(Import!F19=1,1,0.866))</f>
        <v/>
      </c>
      <c r="J16" s="302" t="str">
        <f t="shared" si="0"/>
        <v/>
      </c>
      <c r="K16" s="302" t="str">
        <f>IF(C16=0,"",Input!D$12)</f>
        <v/>
      </c>
      <c r="L16" s="302" t="str">
        <f t="shared" si="1"/>
        <v/>
      </c>
      <c r="O16" s="1" t="s">
        <v>681</v>
      </c>
      <c r="P16" s="19" t="str">
        <f t="shared" si="2"/>
        <v/>
      </c>
      <c r="Q16" s="406" t="s">
        <v>419</v>
      </c>
      <c r="R16" s="1" t="str">
        <f t="shared" si="3"/>
        <v/>
      </c>
      <c r="S16" s="1" t="s">
        <v>423</v>
      </c>
      <c r="T16" s="1" t="str">
        <f t="shared" si="4"/>
        <v/>
      </c>
      <c r="U16" s="1" t="s">
        <v>682</v>
      </c>
      <c r="V16" s="1" t="str">
        <f t="shared" si="5"/>
        <v/>
      </c>
      <c r="W16" s="1" t="s">
        <v>424</v>
      </c>
      <c r="X16" s="1" t="str">
        <f t="shared" si="6"/>
        <v/>
      </c>
      <c r="Y16" s="1" t="s">
        <v>435</v>
      </c>
      <c r="Z16" s="1" t="str">
        <f t="shared" si="7"/>
        <v/>
      </c>
      <c r="AE16" s="1" t="s">
        <v>180</v>
      </c>
      <c r="AF16" s="1" t="str">
        <f t="shared" si="8"/>
        <v/>
      </c>
      <c r="AG16" s="1" t="s">
        <v>416</v>
      </c>
      <c r="AH16" s="1" t="str">
        <f t="shared" si="9"/>
        <v/>
      </c>
      <c r="AI16" s="1" t="s">
        <v>683</v>
      </c>
      <c r="AJ16" s="1" t="str">
        <f t="shared" si="10"/>
        <v/>
      </c>
      <c r="AK16" s="1" t="s">
        <v>430</v>
      </c>
      <c r="AL16" s="1" t="str">
        <f t="shared" si="11"/>
        <v/>
      </c>
    </row>
    <row r="17" spans="3:38">
      <c r="C17" s="302">
        <f>Import!B20</f>
        <v>0</v>
      </c>
      <c r="D17" s="1" t="s">
        <v>87</v>
      </c>
      <c r="F17" s="407" t="str">
        <f>IF(C17=0,"",Import!I20)</f>
        <v/>
      </c>
      <c r="G17" s="409" t="str">
        <f>IF(C17=0,"",Import!BC20)</f>
        <v/>
      </c>
      <c r="H17" s="302" t="str">
        <f>IF(C17=0,"",Import!BD20)</f>
        <v/>
      </c>
      <c r="I17" s="302" t="str">
        <f>IF(C17=0,"",IF(Import!F20=1,1,0.866))</f>
        <v/>
      </c>
      <c r="J17" s="302" t="str">
        <f t="shared" si="0"/>
        <v/>
      </c>
      <c r="K17" s="302" t="str">
        <f>IF(C17=0,"",Input!D$12)</f>
        <v/>
      </c>
      <c r="L17" s="302" t="str">
        <f t="shared" si="1"/>
        <v/>
      </c>
      <c r="O17" s="1" t="s">
        <v>681</v>
      </c>
      <c r="P17" s="19" t="str">
        <f t="shared" si="2"/>
        <v/>
      </c>
      <c r="Q17" s="406" t="s">
        <v>419</v>
      </c>
      <c r="R17" s="1" t="str">
        <f t="shared" si="3"/>
        <v/>
      </c>
      <c r="S17" s="1" t="s">
        <v>423</v>
      </c>
      <c r="T17" s="1" t="str">
        <f t="shared" si="4"/>
        <v/>
      </c>
      <c r="U17" s="1" t="s">
        <v>682</v>
      </c>
      <c r="V17" s="1" t="str">
        <f t="shared" si="5"/>
        <v/>
      </c>
      <c r="W17" s="1" t="s">
        <v>424</v>
      </c>
      <c r="X17" s="1" t="str">
        <f t="shared" si="6"/>
        <v/>
      </c>
      <c r="Y17" s="1" t="s">
        <v>435</v>
      </c>
      <c r="Z17" s="1" t="str">
        <f t="shared" si="7"/>
        <v/>
      </c>
      <c r="AE17" s="1" t="s">
        <v>180</v>
      </c>
      <c r="AF17" s="1" t="str">
        <f t="shared" si="8"/>
        <v/>
      </c>
      <c r="AG17" s="1" t="s">
        <v>416</v>
      </c>
      <c r="AH17" s="1" t="str">
        <f t="shared" si="9"/>
        <v/>
      </c>
      <c r="AI17" s="1" t="s">
        <v>683</v>
      </c>
      <c r="AJ17" s="1" t="str">
        <f t="shared" si="10"/>
        <v/>
      </c>
      <c r="AK17" s="1" t="s">
        <v>430</v>
      </c>
      <c r="AL17" s="1" t="str">
        <f t="shared" si="11"/>
        <v/>
      </c>
    </row>
    <row r="18" spans="3:38">
      <c r="C18" s="302">
        <f>Import!B21</f>
        <v>0</v>
      </c>
      <c r="D18" s="1" t="s">
        <v>88</v>
      </c>
      <c r="F18" s="407" t="str">
        <f>IF(C18=0,"",Import!I21)</f>
        <v/>
      </c>
      <c r="G18" s="409" t="str">
        <f>IF(C18=0,"",Import!BC21)</f>
        <v/>
      </c>
      <c r="H18" s="302" t="str">
        <f>IF(C18=0,"",Import!BD21)</f>
        <v/>
      </c>
      <c r="I18" s="302" t="str">
        <f>IF(C18=0,"",IF(Import!F21=1,1,0.866))</f>
        <v/>
      </c>
      <c r="J18" s="302" t="str">
        <f t="shared" si="0"/>
        <v/>
      </c>
      <c r="K18" s="302" t="str">
        <f>IF(C18=0,"",Input!D$12)</f>
        <v/>
      </c>
      <c r="L18" s="302" t="str">
        <f t="shared" si="1"/>
        <v/>
      </c>
      <c r="O18" s="1" t="s">
        <v>681</v>
      </c>
      <c r="P18" s="19" t="str">
        <f t="shared" si="2"/>
        <v/>
      </c>
      <c r="Q18" s="406" t="s">
        <v>419</v>
      </c>
      <c r="R18" s="1" t="str">
        <f t="shared" si="3"/>
        <v/>
      </c>
      <c r="S18" s="1" t="s">
        <v>423</v>
      </c>
      <c r="T18" s="1" t="str">
        <f t="shared" si="4"/>
        <v/>
      </c>
      <c r="U18" s="1" t="s">
        <v>682</v>
      </c>
      <c r="V18" s="1" t="str">
        <f t="shared" si="5"/>
        <v/>
      </c>
      <c r="W18" s="1" t="s">
        <v>424</v>
      </c>
      <c r="X18" s="1" t="str">
        <f t="shared" si="6"/>
        <v/>
      </c>
      <c r="Y18" s="1" t="s">
        <v>435</v>
      </c>
      <c r="Z18" s="1" t="str">
        <f t="shared" si="7"/>
        <v/>
      </c>
      <c r="AE18" s="1" t="s">
        <v>180</v>
      </c>
      <c r="AF18" s="1" t="str">
        <f t="shared" si="8"/>
        <v/>
      </c>
      <c r="AG18" s="1" t="s">
        <v>416</v>
      </c>
      <c r="AH18" s="1" t="str">
        <f t="shared" si="9"/>
        <v/>
      </c>
      <c r="AI18" s="1" t="s">
        <v>683</v>
      </c>
      <c r="AJ18" s="1" t="str">
        <f t="shared" si="10"/>
        <v/>
      </c>
      <c r="AK18" s="1" t="s">
        <v>430</v>
      </c>
      <c r="AL18" s="1" t="str">
        <f t="shared" si="11"/>
        <v/>
      </c>
    </row>
    <row r="19" spans="3:38">
      <c r="C19" s="302">
        <f>Import!B22</f>
        <v>0</v>
      </c>
      <c r="D19" s="1" t="s">
        <v>89</v>
      </c>
      <c r="F19" s="407" t="str">
        <f>IF(C19=0,"",Import!I22)</f>
        <v/>
      </c>
      <c r="G19" s="409" t="str">
        <f>IF(C19=0,"",Import!BC22)</f>
        <v/>
      </c>
      <c r="H19" s="302" t="str">
        <f>IF(C19=0,"",Import!BD22)</f>
        <v/>
      </c>
      <c r="I19" s="302" t="str">
        <f>IF(C19=0,"",IF(Import!F22=1,1,0.866))</f>
        <v/>
      </c>
      <c r="J19" s="302" t="str">
        <f t="shared" si="0"/>
        <v/>
      </c>
      <c r="K19" s="302" t="str">
        <f>IF(C19=0,"",Input!D$12)</f>
        <v/>
      </c>
      <c r="L19" s="302" t="str">
        <f t="shared" si="1"/>
        <v/>
      </c>
      <c r="O19" s="1" t="s">
        <v>681</v>
      </c>
      <c r="P19" s="19" t="str">
        <f t="shared" si="2"/>
        <v/>
      </c>
      <c r="Q19" s="406" t="s">
        <v>419</v>
      </c>
      <c r="R19" s="1" t="str">
        <f t="shared" si="3"/>
        <v/>
      </c>
      <c r="S19" s="1" t="s">
        <v>423</v>
      </c>
      <c r="T19" s="1" t="str">
        <f t="shared" si="4"/>
        <v/>
      </c>
      <c r="U19" s="1" t="s">
        <v>682</v>
      </c>
      <c r="V19" s="1" t="str">
        <f t="shared" si="5"/>
        <v/>
      </c>
      <c r="W19" s="1" t="s">
        <v>424</v>
      </c>
      <c r="X19" s="1" t="str">
        <f t="shared" si="6"/>
        <v/>
      </c>
      <c r="Y19" s="1" t="s">
        <v>435</v>
      </c>
      <c r="Z19" s="1" t="str">
        <f t="shared" si="7"/>
        <v/>
      </c>
      <c r="AE19" s="1" t="s">
        <v>180</v>
      </c>
      <c r="AF19" s="1" t="str">
        <f t="shared" si="8"/>
        <v/>
      </c>
      <c r="AG19" s="1" t="s">
        <v>416</v>
      </c>
      <c r="AH19" s="1" t="str">
        <f t="shared" si="9"/>
        <v/>
      </c>
      <c r="AI19" s="1" t="s">
        <v>683</v>
      </c>
      <c r="AJ19" s="1" t="str">
        <f t="shared" si="10"/>
        <v/>
      </c>
      <c r="AK19" s="1" t="s">
        <v>430</v>
      </c>
      <c r="AL19" s="1" t="str">
        <f t="shared" si="11"/>
        <v/>
      </c>
    </row>
    <row r="20" spans="3:38">
      <c r="C20" s="302">
        <f>Import!B23</f>
        <v>0</v>
      </c>
      <c r="D20" s="1" t="s">
        <v>90</v>
      </c>
      <c r="F20" s="407" t="str">
        <f>IF(C20=0,"",Import!I23)</f>
        <v/>
      </c>
      <c r="G20" s="409" t="str">
        <f>IF(C20=0,"",Import!BC23)</f>
        <v/>
      </c>
      <c r="H20" s="302" t="str">
        <f>IF(C20=0,"",Import!BD23)</f>
        <v/>
      </c>
      <c r="I20" s="302" t="str">
        <f>IF(C20=0,"",IF(Import!F23=1,1,0.866))</f>
        <v/>
      </c>
      <c r="J20" s="302" t="str">
        <f t="shared" si="0"/>
        <v/>
      </c>
      <c r="K20" s="302" t="str">
        <f>IF(C20=0,"",Input!D$12)</f>
        <v/>
      </c>
      <c r="L20" s="302" t="str">
        <f t="shared" si="1"/>
        <v/>
      </c>
      <c r="O20" s="1" t="s">
        <v>681</v>
      </c>
      <c r="P20" s="19" t="str">
        <f t="shared" si="2"/>
        <v/>
      </c>
      <c r="Q20" s="406" t="s">
        <v>419</v>
      </c>
      <c r="R20" s="1" t="str">
        <f t="shared" si="3"/>
        <v/>
      </c>
      <c r="S20" s="1" t="s">
        <v>423</v>
      </c>
      <c r="T20" s="1" t="str">
        <f t="shared" si="4"/>
        <v/>
      </c>
      <c r="U20" s="1" t="s">
        <v>682</v>
      </c>
      <c r="V20" s="1" t="str">
        <f t="shared" si="5"/>
        <v/>
      </c>
      <c r="W20" s="1" t="s">
        <v>424</v>
      </c>
      <c r="X20" s="1" t="str">
        <f t="shared" si="6"/>
        <v/>
      </c>
      <c r="Y20" s="1" t="s">
        <v>435</v>
      </c>
      <c r="Z20" s="1" t="str">
        <f t="shared" si="7"/>
        <v/>
      </c>
      <c r="AE20" s="1" t="s">
        <v>180</v>
      </c>
      <c r="AF20" s="1" t="str">
        <f t="shared" si="8"/>
        <v/>
      </c>
      <c r="AG20" s="1" t="s">
        <v>416</v>
      </c>
      <c r="AH20" s="1" t="str">
        <f t="shared" si="9"/>
        <v/>
      </c>
      <c r="AI20" s="1" t="s">
        <v>683</v>
      </c>
      <c r="AJ20" s="1" t="str">
        <f t="shared" si="10"/>
        <v/>
      </c>
      <c r="AK20" s="1" t="s">
        <v>430</v>
      </c>
      <c r="AL20" s="1" t="str">
        <f t="shared" si="11"/>
        <v/>
      </c>
    </row>
    <row r="21" spans="3:38">
      <c r="C21" s="302">
        <f>Import!B24</f>
        <v>0</v>
      </c>
      <c r="D21" s="1" t="s">
        <v>91</v>
      </c>
      <c r="F21" s="407" t="str">
        <f>IF(C21=0,"",Import!I24)</f>
        <v/>
      </c>
      <c r="G21" s="409" t="str">
        <f>IF(C21=0,"",Import!BC24)</f>
        <v/>
      </c>
      <c r="H21" s="302" t="str">
        <f>IF(C21=0,"",Import!BD24)</f>
        <v/>
      </c>
      <c r="I21" s="302" t="str">
        <f>IF(C21=0,"",IF(Import!F24=1,1,0.866))</f>
        <v/>
      </c>
      <c r="J21" s="302" t="str">
        <f t="shared" si="0"/>
        <v/>
      </c>
      <c r="K21" s="302" t="str">
        <f>IF(C21=0,"",Input!D$12)</f>
        <v/>
      </c>
      <c r="L21" s="302" t="str">
        <f t="shared" si="1"/>
        <v/>
      </c>
      <c r="O21" s="1" t="s">
        <v>681</v>
      </c>
      <c r="P21" s="19" t="str">
        <f t="shared" si="2"/>
        <v/>
      </c>
      <c r="Q21" s="406" t="s">
        <v>419</v>
      </c>
      <c r="R21" s="1" t="str">
        <f t="shared" si="3"/>
        <v/>
      </c>
      <c r="S21" s="1" t="s">
        <v>423</v>
      </c>
      <c r="T21" s="1" t="str">
        <f t="shared" si="4"/>
        <v/>
      </c>
      <c r="U21" s="1" t="s">
        <v>682</v>
      </c>
      <c r="V21" s="1" t="str">
        <f t="shared" si="5"/>
        <v/>
      </c>
      <c r="W21" s="1" t="s">
        <v>424</v>
      </c>
      <c r="X21" s="1" t="str">
        <f t="shared" si="6"/>
        <v/>
      </c>
      <c r="Y21" s="1" t="s">
        <v>435</v>
      </c>
      <c r="Z21" s="1" t="str">
        <f t="shared" si="7"/>
        <v/>
      </c>
      <c r="AE21" s="1" t="s">
        <v>180</v>
      </c>
      <c r="AF21" s="1" t="str">
        <f t="shared" si="8"/>
        <v/>
      </c>
      <c r="AG21" s="1" t="s">
        <v>416</v>
      </c>
      <c r="AH21" s="1" t="str">
        <f t="shared" si="9"/>
        <v/>
      </c>
      <c r="AI21" s="1" t="s">
        <v>683</v>
      </c>
      <c r="AJ21" s="1" t="str">
        <f t="shared" si="10"/>
        <v/>
      </c>
      <c r="AK21" s="1" t="s">
        <v>430</v>
      </c>
      <c r="AL21" s="1" t="str">
        <f t="shared" si="11"/>
        <v/>
      </c>
    </row>
    <row r="22" spans="3:38">
      <c r="C22" s="302">
        <f>Import!B25</f>
        <v>0</v>
      </c>
      <c r="D22" s="1" t="s">
        <v>92</v>
      </c>
      <c r="F22" s="407" t="str">
        <f>IF(C22=0,"",Import!I25)</f>
        <v/>
      </c>
      <c r="G22" s="409" t="str">
        <f>IF(C22=0,"",Import!BC25)</f>
        <v/>
      </c>
      <c r="H22" s="302" t="str">
        <f>IF(C22=0,"",Import!BD25)</f>
        <v/>
      </c>
      <c r="I22" s="302" t="str">
        <f>IF(C22=0,"",IF(Import!F25=1,1,0.866))</f>
        <v/>
      </c>
      <c r="J22" s="302" t="str">
        <f t="shared" si="0"/>
        <v/>
      </c>
      <c r="K22" s="302" t="str">
        <f>IF(C22=0,"",Input!D$12)</f>
        <v/>
      </c>
      <c r="L22" s="302" t="str">
        <f t="shared" si="1"/>
        <v/>
      </c>
      <c r="O22" s="1" t="s">
        <v>681</v>
      </c>
      <c r="P22" s="19" t="str">
        <f t="shared" si="2"/>
        <v/>
      </c>
      <c r="Q22" s="406" t="s">
        <v>419</v>
      </c>
      <c r="R22" s="1" t="str">
        <f t="shared" si="3"/>
        <v/>
      </c>
      <c r="S22" s="1" t="s">
        <v>423</v>
      </c>
      <c r="T22" s="1" t="str">
        <f t="shared" si="4"/>
        <v/>
      </c>
      <c r="U22" s="1" t="s">
        <v>682</v>
      </c>
      <c r="V22" s="1" t="str">
        <f t="shared" si="5"/>
        <v/>
      </c>
      <c r="W22" s="1" t="s">
        <v>424</v>
      </c>
      <c r="X22" s="1" t="str">
        <f t="shared" si="6"/>
        <v/>
      </c>
      <c r="Y22" s="1" t="s">
        <v>435</v>
      </c>
      <c r="Z22" s="1" t="str">
        <f t="shared" si="7"/>
        <v/>
      </c>
      <c r="AE22" s="1" t="s">
        <v>180</v>
      </c>
      <c r="AF22" s="1" t="str">
        <f t="shared" si="8"/>
        <v/>
      </c>
      <c r="AG22" s="1" t="s">
        <v>416</v>
      </c>
      <c r="AH22" s="1" t="str">
        <f t="shared" si="9"/>
        <v/>
      </c>
      <c r="AI22" s="1" t="s">
        <v>683</v>
      </c>
      <c r="AJ22" s="1" t="str">
        <f t="shared" si="10"/>
        <v/>
      </c>
      <c r="AK22" s="1" t="s">
        <v>430</v>
      </c>
      <c r="AL22" s="1" t="str">
        <f t="shared" si="11"/>
        <v/>
      </c>
    </row>
    <row r="23" spans="3:38">
      <c r="C23" s="302">
        <f>Import!B26</f>
        <v>0</v>
      </c>
      <c r="D23" s="1" t="s">
        <v>93</v>
      </c>
      <c r="F23" s="407" t="str">
        <f>IF(C23=0,"",Import!I26)</f>
        <v/>
      </c>
      <c r="G23" s="409" t="str">
        <f>IF(C23=0,"",Import!BC26)</f>
        <v/>
      </c>
      <c r="H23" s="302" t="str">
        <f>IF(C23=0,"",Import!BD26)</f>
        <v/>
      </c>
      <c r="I23" s="302" t="str">
        <f>IF(C23=0,"",IF(Import!F26=1,1,0.866))</f>
        <v/>
      </c>
      <c r="J23" s="302" t="str">
        <f t="shared" si="0"/>
        <v/>
      </c>
      <c r="K23" s="302" t="str">
        <f>IF(C23=0,"",Input!D$12)</f>
        <v/>
      </c>
      <c r="L23" s="302" t="str">
        <f t="shared" si="1"/>
        <v/>
      </c>
      <c r="O23" s="1" t="s">
        <v>681</v>
      </c>
      <c r="P23" s="19" t="str">
        <f t="shared" si="2"/>
        <v/>
      </c>
      <c r="Q23" s="406" t="s">
        <v>419</v>
      </c>
      <c r="R23" s="1" t="str">
        <f t="shared" si="3"/>
        <v/>
      </c>
      <c r="S23" s="1" t="s">
        <v>423</v>
      </c>
      <c r="T23" s="1" t="str">
        <f t="shared" si="4"/>
        <v/>
      </c>
      <c r="U23" s="1" t="s">
        <v>682</v>
      </c>
      <c r="V23" s="1" t="str">
        <f t="shared" si="5"/>
        <v/>
      </c>
      <c r="W23" s="1" t="s">
        <v>424</v>
      </c>
      <c r="X23" s="1" t="str">
        <f t="shared" si="6"/>
        <v/>
      </c>
      <c r="Y23" s="1" t="s">
        <v>435</v>
      </c>
      <c r="Z23" s="1" t="str">
        <f t="shared" si="7"/>
        <v/>
      </c>
      <c r="AE23" s="1" t="s">
        <v>180</v>
      </c>
      <c r="AF23" s="1" t="str">
        <f t="shared" si="8"/>
        <v/>
      </c>
      <c r="AG23" s="1" t="s">
        <v>416</v>
      </c>
      <c r="AH23" s="1" t="str">
        <f t="shared" si="9"/>
        <v/>
      </c>
      <c r="AI23" s="1" t="s">
        <v>683</v>
      </c>
      <c r="AJ23" s="1" t="str">
        <f t="shared" si="10"/>
        <v/>
      </c>
      <c r="AK23" s="1" t="s">
        <v>430</v>
      </c>
      <c r="AL23" s="1" t="str">
        <f t="shared" si="11"/>
        <v/>
      </c>
    </row>
    <row r="24" spans="3:38">
      <c r="C24" s="302">
        <f>Import!B27</f>
        <v>0</v>
      </c>
      <c r="D24" s="1" t="s">
        <v>94</v>
      </c>
      <c r="F24" s="407" t="str">
        <f>IF(C24=0,"",Import!I27)</f>
        <v/>
      </c>
      <c r="G24" s="409" t="str">
        <f>IF(C24=0,"",Import!BC27)</f>
        <v/>
      </c>
      <c r="H24" s="302" t="str">
        <f>IF(C24=0,"",Import!BD27)</f>
        <v/>
      </c>
      <c r="I24" s="302" t="str">
        <f>IF(C24=0,"",IF(Import!F27=1,1,0.866))</f>
        <v/>
      </c>
      <c r="J24" s="302" t="str">
        <f t="shared" si="0"/>
        <v/>
      </c>
      <c r="K24" s="302" t="str">
        <f>IF(C24=0,"",Input!D$12)</f>
        <v/>
      </c>
      <c r="L24" s="302" t="str">
        <f t="shared" si="1"/>
        <v/>
      </c>
      <c r="O24" s="1" t="s">
        <v>681</v>
      </c>
      <c r="P24" s="19" t="str">
        <f t="shared" si="2"/>
        <v/>
      </c>
      <c r="Q24" s="406" t="s">
        <v>419</v>
      </c>
      <c r="R24" s="1" t="str">
        <f t="shared" si="3"/>
        <v/>
      </c>
      <c r="S24" s="1" t="s">
        <v>423</v>
      </c>
      <c r="T24" s="1" t="str">
        <f t="shared" si="4"/>
        <v/>
      </c>
      <c r="U24" s="1" t="s">
        <v>682</v>
      </c>
      <c r="V24" s="1" t="str">
        <f t="shared" si="5"/>
        <v/>
      </c>
      <c r="W24" s="1" t="s">
        <v>424</v>
      </c>
      <c r="X24" s="1" t="str">
        <f t="shared" si="6"/>
        <v/>
      </c>
      <c r="Y24" s="1" t="s">
        <v>435</v>
      </c>
      <c r="Z24" s="1" t="str">
        <f t="shared" si="7"/>
        <v/>
      </c>
      <c r="AE24" s="1" t="s">
        <v>180</v>
      </c>
      <c r="AF24" s="1" t="str">
        <f t="shared" si="8"/>
        <v/>
      </c>
      <c r="AG24" s="1" t="s">
        <v>416</v>
      </c>
      <c r="AH24" s="1" t="str">
        <f t="shared" si="9"/>
        <v/>
      </c>
      <c r="AI24" s="1" t="s">
        <v>683</v>
      </c>
      <c r="AJ24" s="1" t="str">
        <f t="shared" si="10"/>
        <v/>
      </c>
      <c r="AK24" s="1" t="s">
        <v>430</v>
      </c>
      <c r="AL24" s="1" t="str">
        <f t="shared" si="11"/>
        <v/>
      </c>
    </row>
    <row r="25" spans="3:38">
      <c r="C25" s="302">
        <f>Import!B28</f>
        <v>0</v>
      </c>
      <c r="D25" s="1" t="s">
        <v>95</v>
      </c>
      <c r="F25" s="407" t="str">
        <f>IF(C25=0,"",Import!I28)</f>
        <v/>
      </c>
      <c r="G25" s="409" t="str">
        <f>IF(C25=0,"",Import!BC28)</f>
        <v/>
      </c>
      <c r="H25" s="302" t="str">
        <f>IF(C25=0,"",Import!BD28)</f>
        <v/>
      </c>
      <c r="I25" s="302" t="str">
        <f>IF(C25=0,"",IF(Import!F28=1,1,0.866))</f>
        <v/>
      </c>
      <c r="J25" s="302" t="str">
        <f t="shared" si="0"/>
        <v/>
      </c>
      <c r="K25" s="302" t="str">
        <f>IF(C25=0,"",Input!D$12)</f>
        <v/>
      </c>
      <c r="L25" s="302" t="str">
        <f t="shared" si="1"/>
        <v/>
      </c>
      <c r="O25" s="1" t="s">
        <v>681</v>
      </c>
      <c r="P25" s="19" t="str">
        <f t="shared" si="2"/>
        <v/>
      </c>
      <c r="Q25" s="406" t="s">
        <v>419</v>
      </c>
      <c r="R25" s="1" t="str">
        <f t="shared" si="3"/>
        <v/>
      </c>
      <c r="S25" s="1" t="s">
        <v>423</v>
      </c>
      <c r="T25" s="1" t="str">
        <f t="shared" si="4"/>
        <v/>
      </c>
      <c r="U25" s="1" t="s">
        <v>682</v>
      </c>
      <c r="V25" s="1" t="str">
        <f t="shared" si="5"/>
        <v/>
      </c>
      <c r="W25" s="1" t="s">
        <v>424</v>
      </c>
      <c r="X25" s="1" t="str">
        <f t="shared" si="6"/>
        <v/>
      </c>
      <c r="Y25" s="1" t="s">
        <v>435</v>
      </c>
      <c r="Z25" s="1" t="str">
        <f t="shared" si="7"/>
        <v/>
      </c>
      <c r="AE25" s="1" t="s">
        <v>180</v>
      </c>
      <c r="AF25" s="1" t="str">
        <f t="shared" si="8"/>
        <v/>
      </c>
      <c r="AG25" s="1" t="s">
        <v>416</v>
      </c>
      <c r="AH25" s="1" t="str">
        <f t="shared" si="9"/>
        <v/>
      </c>
      <c r="AI25" s="1" t="s">
        <v>683</v>
      </c>
      <c r="AJ25" s="1" t="str">
        <f t="shared" si="10"/>
        <v/>
      </c>
      <c r="AK25" s="1" t="s">
        <v>430</v>
      </c>
      <c r="AL25" s="1" t="str">
        <f t="shared" si="11"/>
        <v/>
      </c>
    </row>
    <row r="26" spans="3:38">
      <c r="C26" s="302">
        <f>Import!B29</f>
        <v>0</v>
      </c>
      <c r="D26" s="1" t="s">
        <v>96</v>
      </c>
      <c r="F26" s="407" t="str">
        <f>IF(C26=0,"",Import!I29)</f>
        <v/>
      </c>
      <c r="G26" s="409" t="str">
        <f>IF(C26=0,"",Import!BC29)</f>
        <v/>
      </c>
      <c r="H26" s="302" t="str">
        <f>IF(C26=0,"",Import!BD29)</f>
        <v/>
      </c>
      <c r="I26" s="302" t="str">
        <f>IF(C26=0,"",IF(Import!F29=1,1,0.866))</f>
        <v/>
      </c>
      <c r="J26" s="302" t="str">
        <f t="shared" si="0"/>
        <v/>
      </c>
      <c r="K26" s="302" t="str">
        <f>IF(C26=0,"",Input!D$12)</f>
        <v/>
      </c>
      <c r="L26" s="302" t="str">
        <f t="shared" si="1"/>
        <v/>
      </c>
      <c r="O26" s="1" t="s">
        <v>681</v>
      </c>
      <c r="P26" s="19" t="str">
        <f t="shared" si="2"/>
        <v/>
      </c>
      <c r="Q26" s="406" t="s">
        <v>419</v>
      </c>
      <c r="R26" s="1" t="str">
        <f t="shared" si="3"/>
        <v/>
      </c>
      <c r="S26" s="1" t="s">
        <v>423</v>
      </c>
      <c r="T26" s="1" t="str">
        <f t="shared" si="4"/>
        <v/>
      </c>
      <c r="U26" s="1" t="s">
        <v>682</v>
      </c>
      <c r="V26" s="1" t="str">
        <f t="shared" si="5"/>
        <v/>
      </c>
      <c r="W26" s="1" t="s">
        <v>424</v>
      </c>
      <c r="X26" s="1" t="str">
        <f t="shared" si="6"/>
        <v/>
      </c>
      <c r="Y26" s="1" t="s">
        <v>435</v>
      </c>
      <c r="Z26" s="1" t="str">
        <f t="shared" si="7"/>
        <v/>
      </c>
      <c r="AE26" s="1" t="s">
        <v>180</v>
      </c>
      <c r="AF26" s="1" t="str">
        <f t="shared" si="8"/>
        <v/>
      </c>
      <c r="AG26" s="1" t="s">
        <v>416</v>
      </c>
      <c r="AH26" s="1" t="str">
        <f t="shared" si="9"/>
        <v/>
      </c>
      <c r="AI26" s="1" t="s">
        <v>683</v>
      </c>
      <c r="AJ26" s="1" t="str">
        <f t="shared" si="10"/>
        <v/>
      </c>
      <c r="AK26" s="1" t="s">
        <v>430</v>
      </c>
      <c r="AL26" s="1" t="str">
        <f t="shared" si="11"/>
        <v/>
      </c>
    </row>
    <row r="27" spans="3:38">
      <c r="C27" s="302">
        <f>Import!B30</f>
        <v>0</v>
      </c>
      <c r="D27" s="1" t="s">
        <v>97</v>
      </c>
      <c r="F27" s="407" t="str">
        <f>IF(C27=0,"",Import!I30)</f>
        <v/>
      </c>
      <c r="G27" s="409" t="str">
        <f>IF(C27=0,"",Import!BC30)</f>
        <v/>
      </c>
      <c r="H27" s="302" t="str">
        <f>IF(C27=0,"",Import!BD30)</f>
        <v/>
      </c>
      <c r="I27" s="302" t="str">
        <f>IF(C27=0,"",IF(Import!F30=1,1,0.866))</f>
        <v/>
      </c>
      <c r="J27" s="302" t="str">
        <f t="shared" si="0"/>
        <v/>
      </c>
      <c r="K27" s="302" t="str">
        <f>IF(C27=0,"",Input!D$12)</f>
        <v/>
      </c>
      <c r="L27" s="302" t="str">
        <f t="shared" si="1"/>
        <v/>
      </c>
      <c r="O27" s="1" t="s">
        <v>681</v>
      </c>
      <c r="P27" s="19" t="str">
        <f t="shared" si="2"/>
        <v/>
      </c>
      <c r="Q27" s="406" t="s">
        <v>419</v>
      </c>
      <c r="R27" s="1" t="str">
        <f t="shared" si="3"/>
        <v/>
      </c>
      <c r="S27" s="1" t="s">
        <v>423</v>
      </c>
      <c r="T27" s="1" t="str">
        <f t="shared" si="4"/>
        <v/>
      </c>
      <c r="U27" s="1" t="s">
        <v>682</v>
      </c>
      <c r="V27" s="1" t="str">
        <f t="shared" si="5"/>
        <v/>
      </c>
      <c r="W27" s="1" t="s">
        <v>424</v>
      </c>
      <c r="X27" s="1" t="str">
        <f t="shared" si="6"/>
        <v/>
      </c>
      <c r="Y27" s="1" t="s">
        <v>435</v>
      </c>
      <c r="Z27" s="1" t="str">
        <f t="shared" si="7"/>
        <v/>
      </c>
      <c r="AE27" s="1" t="s">
        <v>180</v>
      </c>
      <c r="AF27" s="1" t="str">
        <f t="shared" si="8"/>
        <v/>
      </c>
      <c r="AG27" s="1" t="s">
        <v>416</v>
      </c>
      <c r="AH27" s="1" t="str">
        <f t="shared" si="9"/>
        <v/>
      </c>
      <c r="AI27" s="1" t="s">
        <v>683</v>
      </c>
      <c r="AJ27" s="1" t="str">
        <f t="shared" si="10"/>
        <v/>
      </c>
      <c r="AK27" s="1" t="s">
        <v>430</v>
      </c>
      <c r="AL27" s="1" t="str">
        <f t="shared" si="11"/>
        <v/>
      </c>
    </row>
    <row r="28" spans="3:38">
      <c r="C28" s="302">
        <f>Import!B31</f>
        <v>0</v>
      </c>
      <c r="D28" s="1" t="s">
        <v>98</v>
      </c>
      <c r="F28" s="407" t="str">
        <f>IF(C28=0,"",Import!I31)</f>
        <v/>
      </c>
      <c r="G28" s="409" t="str">
        <f>IF(C28=0,"",Import!BC31)</f>
        <v/>
      </c>
      <c r="H28" s="302" t="str">
        <f>IF(C28=0,"",Import!BD31)</f>
        <v/>
      </c>
      <c r="I28" s="302" t="str">
        <f>IF(C28=0,"",IF(Import!F31=1,1,0.866))</f>
        <v/>
      </c>
      <c r="J28" s="302" t="str">
        <f t="shared" si="0"/>
        <v/>
      </c>
      <c r="K28" s="302" t="str">
        <f>IF(C28=0,"",Input!D$12)</f>
        <v/>
      </c>
      <c r="L28" s="302" t="str">
        <f t="shared" si="1"/>
        <v/>
      </c>
      <c r="O28" s="1" t="s">
        <v>681</v>
      </c>
      <c r="P28" s="19" t="str">
        <f t="shared" si="2"/>
        <v/>
      </c>
      <c r="Q28" s="406" t="s">
        <v>419</v>
      </c>
      <c r="R28" s="1" t="str">
        <f t="shared" si="3"/>
        <v/>
      </c>
      <c r="S28" s="1" t="s">
        <v>423</v>
      </c>
      <c r="T28" s="1" t="str">
        <f t="shared" si="4"/>
        <v/>
      </c>
      <c r="U28" s="1" t="s">
        <v>682</v>
      </c>
      <c r="V28" s="1" t="str">
        <f t="shared" si="5"/>
        <v/>
      </c>
      <c r="W28" s="1" t="s">
        <v>424</v>
      </c>
      <c r="X28" s="1" t="str">
        <f t="shared" si="6"/>
        <v/>
      </c>
      <c r="Y28" s="1" t="s">
        <v>435</v>
      </c>
      <c r="Z28" s="1" t="str">
        <f t="shared" si="7"/>
        <v/>
      </c>
      <c r="AE28" s="1" t="s">
        <v>180</v>
      </c>
      <c r="AF28" s="1" t="str">
        <f t="shared" si="8"/>
        <v/>
      </c>
      <c r="AG28" s="1" t="s">
        <v>416</v>
      </c>
      <c r="AH28" s="1" t="str">
        <f t="shared" si="9"/>
        <v/>
      </c>
      <c r="AI28" s="1" t="s">
        <v>683</v>
      </c>
      <c r="AJ28" s="1" t="str">
        <f t="shared" si="10"/>
        <v/>
      </c>
      <c r="AK28" s="1" t="s">
        <v>430</v>
      </c>
      <c r="AL28" s="1" t="str">
        <f t="shared" si="11"/>
        <v/>
      </c>
    </row>
    <row r="29" spans="3:38">
      <c r="C29" s="302">
        <f>Import!B32</f>
        <v>0</v>
      </c>
      <c r="D29" s="1" t="s">
        <v>99</v>
      </c>
      <c r="F29" s="407" t="str">
        <f>IF(C29=0,"",Import!I32)</f>
        <v/>
      </c>
      <c r="G29" s="409" t="str">
        <f>IF(C29=0,"",Import!BC32)</f>
        <v/>
      </c>
      <c r="H29" s="302" t="str">
        <f>IF(C29=0,"",Import!BD32)</f>
        <v/>
      </c>
      <c r="I29" s="302" t="str">
        <f>IF(C29=0,"",IF(Import!F32=1,1,0.866))</f>
        <v/>
      </c>
      <c r="J29" s="302" t="str">
        <f t="shared" si="0"/>
        <v/>
      </c>
      <c r="K29" s="302" t="str">
        <f>IF(C29=0,"",Input!D$12)</f>
        <v/>
      </c>
      <c r="L29" s="302" t="str">
        <f t="shared" si="1"/>
        <v/>
      </c>
      <c r="O29" s="1" t="s">
        <v>681</v>
      </c>
      <c r="P29" s="19" t="str">
        <f t="shared" si="2"/>
        <v/>
      </c>
      <c r="Q29" s="406" t="s">
        <v>419</v>
      </c>
      <c r="R29" s="1" t="str">
        <f t="shared" si="3"/>
        <v/>
      </c>
      <c r="S29" s="1" t="s">
        <v>423</v>
      </c>
      <c r="T29" s="1" t="str">
        <f t="shared" si="4"/>
        <v/>
      </c>
      <c r="U29" s="1" t="s">
        <v>682</v>
      </c>
      <c r="V29" s="1" t="str">
        <f t="shared" si="5"/>
        <v/>
      </c>
      <c r="W29" s="1" t="s">
        <v>424</v>
      </c>
      <c r="X29" s="1" t="str">
        <f t="shared" si="6"/>
        <v/>
      </c>
      <c r="Y29" s="1" t="s">
        <v>435</v>
      </c>
      <c r="Z29" s="1" t="str">
        <f t="shared" si="7"/>
        <v/>
      </c>
      <c r="AE29" s="1" t="s">
        <v>180</v>
      </c>
      <c r="AF29" s="1" t="str">
        <f t="shared" si="8"/>
        <v/>
      </c>
      <c r="AG29" s="1" t="s">
        <v>416</v>
      </c>
      <c r="AH29" s="1" t="str">
        <f t="shared" si="9"/>
        <v/>
      </c>
      <c r="AI29" s="1" t="s">
        <v>683</v>
      </c>
      <c r="AJ29" s="1" t="str">
        <f t="shared" si="10"/>
        <v/>
      </c>
      <c r="AK29" s="1" t="s">
        <v>430</v>
      </c>
      <c r="AL29" s="1" t="str">
        <f t="shared" si="11"/>
        <v/>
      </c>
    </row>
    <row r="30" spans="3:38">
      <c r="C30" s="302">
        <f>Import!B33</f>
        <v>0</v>
      </c>
      <c r="D30" s="1" t="s">
        <v>100</v>
      </c>
      <c r="F30" s="407" t="str">
        <f>IF(C30=0,"",Import!I33)</f>
        <v/>
      </c>
      <c r="G30" s="409" t="str">
        <f>IF(C30=0,"",Import!BC33)</f>
        <v/>
      </c>
      <c r="H30" s="302" t="str">
        <f>IF(C30=0,"",Import!BD33)</f>
        <v/>
      </c>
      <c r="I30" s="302" t="str">
        <f>IF(C30=0,"",IF(Import!F33=1,1,0.866))</f>
        <v/>
      </c>
      <c r="J30" s="302" t="str">
        <f t="shared" si="0"/>
        <v/>
      </c>
      <c r="K30" s="302" t="str">
        <f>IF(C30=0,"",Input!D$12)</f>
        <v/>
      </c>
      <c r="L30" s="302" t="str">
        <f t="shared" si="1"/>
        <v/>
      </c>
      <c r="O30" s="1" t="s">
        <v>681</v>
      </c>
      <c r="P30" s="19" t="str">
        <f t="shared" si="2"/>
        <v/>
      </c>
      <c r="Q30" s="406" t="s">
        <v>419</v>
      </c>
      <c r="R30" s="1" t="str">
        <f t="shared" si="3"/>
        <v/>
      </c>
      <c r="S30" s="1" t="s">
        <v>423</v>
      </c>
      <c r="T30" s="1" t="str">
        <f t="shared" si="4"/>
        <v/>
      </c>
      <c r="U30" s="1" t="s">
        <v>682</v>
      </c>
      <c r="V30" s="1" t="str">
        <f t="shared" si="5"/>
        <v/>
      </c>
      <c r="W30" s="1" t="s">
        <v>424</v>
      </c>
      <c r="X30" s="1" t="str">
        <f t="shared" si="6"/>
        <v/>
      </c>
      <c r="Y30" s="1" t="s">
        <v>435</v>
      </c>
      <c r="Z30" s="1" t="str">
        <f t="shared" si="7"/>
        <v/>
      </c>
      <c r="AE30" s="1" t="s">
        <v>180</v>
      </c>
      <c r="AF30" s="1" t="str">
        <f t="shared" si="8"/>
        <v/>
      </c>
      <c r="AG30" s="1" t="s">
        <v>416</v>
      </c>
      <c r="AH30" s="1" t="str">
        <f t="shared" si="9"/>
        <v/>
      </c>
      <c r="AI30" s="1" t="s">
        <v>683</v>
      </c>
      <c r="AJ30" s="1" t="str">
        <f t="shared" si="10"/>
        <v/>
      </c>
      <c r="AK30" s="1" t="s">
        <v>430</v>
      </c>
      <c r="AL30" s="1" t="str">
        <f t="shared" si="11"/>
        <v/>
      </c>
    </row>
    <row r="31" spans="3:38">
      <c r="C31" s="302">
        <f>Import!B34</f>
        <v>0</v>
      </c>
      <c r="D31" s="1" t="s">
        <v>101</v>
      </c>
      <c r="F31" s="407" t="str">
        <f>IF(C31=0,"",Import!I34)</f>
        <v/>
      </c>
      <c r="G31" s="409" t="str">
        <f>IF(C31=0,"",Import!BC34)</f>
        <v/>
      </c>
      <c r="H31" s="302" t="str">
        <f>IF(C31=0,"",Import!BD34)</f>
        <v/>
      </c>
      <c r="I31" s="302" t="str">
        <f>IF(C31=0,"",IF(Import!F34=1,1,0.866))</f>
        <v/>
      </c>
      <c r="J31" s="302" t="str">
        <f t="shared" si="0"/>
        <v/>
      </c>
      <c r="K31" s="302" t="str">
        <f>IF(C31=0,"",Input!D$12)</f>
        <v/>
      </c>
      <c r="L31" s="302" t="str">
        <f t="shared" si="1"/>
        <v/>
      </c>
      <c r="O31" s="1" t="s">
        <v>681</v>
      </c>
      <c r="P31" s="19" t="str">
        <f t="shared" si="2"/>
        <v/>
      </c>
      <c r="Q31" s="406" t="s">
        <v>419</v>
      </c>
      <c r="R31" s="1" t="str">
        <f t="shared" si="3"/>
        <v/>
      </c>
      <c r="S31" s="1" t="s">
        <v>423</v>
      </c>
      <c r="T31" s="1" t="str">
        <f t="shared" si="4"/>
        <v/>
      </c>
      <c r="U31" s="1" t="s">
        <v>682</v>
      </c>
      <c r="V31" s="1" t="str">
        <f t="shared" si="5"/>
        <v/>
      </c>
      <c r="W31" s="1" t="s">
        <v>424</v>
      </c>
      <c r="X31" s="1" t="str">
        <f t="shared" si="6"/>
        <v/>
      </c>
      <c r="Y31" s="1" t="s">
        <v>435</v>
      </c>
      <c r="Z31" s="1" t="str">
        <f t="shared" si="7"/>
        <v/>
      </c>
      <c r="AE31" s="1" t="s">
        <v>180</v>
      </c>
      <c r="AF31" s="1" t="str">
        <f t="shared" si="8"/>
        <v/>
      </c>
      <c r="AG31" s="1" t="s">
        <v>416</v>
      </c>
      <c r="AH31" s="1" t="str">
        <f t="shared" si="9"/>
        <v/>
      </c>
      <c r="AI31" s="1" t="s">
        <v>683</v>
      </c>
      <c r="AJ31" s="1" t="str">
        <f t="shared" si="10"/>
        <v/>
      </c>
      <c r="AK31" s="1" t="s">
        <v>430</v>
      </c>
      <c r="AL31" s="1" t="str">
        <f t="shared" si="11"/>
        <v/>
      </c>
    </row>
    <row r="32" spans="3:38">
      <c r="C32" s="302">
        <f>Import!B35</f>
        <v>0</v>
      </c>
      <c r="D32" s="1" t="s">
        <v>102</v>
      </c>
      <c r="F32" s="407" t="str">
        <f>IF(C32=0,"",Import!I35)</f>
        <v/>
      </c>
      <c r="G32" s="409" t="str">
        <f>IF(C32=0,"",Import!BC35)</f>
        <v/>
      </c>
      <c r="H32" s="302" t="str">
        <f>IF(C32=0,"",Import!BD35)</f>
        <v/>
      </c>
      <c r="I32" s="302" t="str">
        <f>IF(C32=0,"",IF(Import!F35=1,1,0.866))</f>
        <v/>
      </c>
      <c r="J32" s="302" t="str">
        <f t="shared" si="0"/>
        <v/>
      </c>
      <c r="K32" s="302" t="str">
        <f>IF(C32=0,"",Input!D$12)</f>
        <v/>
      </c>
      <c r="L32" s="302" t="str">
        <f t="shared" si="1"/>
        <v/>
      </c>
      <c r="O32" s="1" t="s">
        <v>681</v>
      </c>
      <c r="P32" s="19" t="str">
        <f t="shared" si="2"/>
        <v/>
      </c>
      <c r="Q32" s="406" t="s">
        <v>419</v>
      </c>
      <c r="R32" s="1" t="str">
        <f t="shared" si="3"/>
        <v/>
      </c>
      <c r="S32" s="1" t="s">
        <v>423</v>
      </c>
      <c r="T32" s="1" t="str">
        <f t="shared" si="4"/>
        <v/>
      </c>
      <c r="U32" s="1" t="s">
        <v>682</v>
      </c>
      <c r="V32" s="1" t="str">
        <f t="shared" si="5"/>
        <v/>
      </c>
      <c r="W32" s="1" t="s">
        <v>424</v>
      </c>
      <c r="X32" s="1" t="str">
        <f t="shared" si="6"/>
        <v/>
      </c>
      <c r="Y32" s="1" t="s">
        <v>435</v>
      </c>
      <c r="Z32" s="1" t="str">
        <f t="shared" si="7"/>
        <v/>
      </c>
      <c r="AE32" s="1" t="s">
        <v>180</v>
      </c>
      <c r="AF32" s="1" t="str">
        <f t="shared" si="8"/>
        <v/>
      </c>
      <c r="AG32" s="1" t="s">
        <v>416</v>
      </c>
      <c r="AH32" s="1" t="str">
        <f t="shared" si="9"/>
        <v/>
      </c>
      <c r="AI32" s="1" t="s">
        <v>683</v>
      </c>
      <c r="AJ32" s="1" t="str">
        <f t="shared" si="10"/>
        <v/>
      </c>
      <c r="AK32" s="1" t="s">
        <v>430</v>
      </c>
      <c r="AL32" s="1" t="str">
        <f t="shared" si="11"/>
        <v/>
      </c>
    </row>
    <row r="33" spans="3:38">
      <c r="C33" s="302">
        <f>Import!B36</f>
        <v>0</v>
      </c>
      <c r="D33" s="1" t="s">
        <v>103</v>
      </c>
      <c r="F33" s="407" t="str">
        <f>IF(C33=0,"",Import!I36)</f>
        <v/>
      </c>
      <c r="G33" s="409" t="str">
        <f>IF(C33=0,"",Import!BC36)</f>
        <v/>
      </c>
      <c r="H33" s="302" t="str">
        <f>IF(C33=0,"",Import!BD36)</f>
        <v/>
      </c>
      <c r="I33" s="302" t="str">
        <f>IF(C33=0,"",IF(Import!F36=1,1,0.866))</f>
        <v/>
      </c>
      <c r="J33" s="302" t="str">
        <f t="shared" si="0"/>
        <v/>
      </c>
      <c r="K33" s="302" t="str">
        <f>IF(C33=0,"",Input!D$12)</f>
        <v/>
      </c>
      <c r="L33" s="302" t="str">
        <f t="shared" si="1"/>
        <v/>
      </c>
      <c r="O33" s="1" t="s">
        <v>681</v>
      </c>
      <c r="P33" s="19" t="str">
        <f t="shared" si="2"/>
        <v/>
      </c>
      <c r="Q33" s="406" t="s">
        <v>419</v>
      </c>
      <c r="R33" s="1" t="str">
        <f t="shared" si="3"/>
        <v/>
      </c>
      <c r="S33" s="1" t="s">
        <v>423</v>
      </c>
      <c r="T33" s="1" t="str">
        <f t="shared" si="4"/>
        <v/>
      </c>
      <c r="U33" s="1" t="s">
        <v>682</v>
      </c>
      <c r="V33" s="1" t="str">
        <f t="shared" si="5"/>
        <v/>
      </c>
      <c r="W33" s="1" t="s">
        <v>424</v>
      </c>
      <c r="X33" s="1" t="str">
        <f t="shared" si="6"/>
        <v/>
      </c>
      <c r="Y33" s="1" t="s">
        <v>435</v>
      </c>
      <c r="Z33" s="1" t="str">
        <f t="shared" si="7"/>
        <v/>
      </c>
      <c r="AE33" s="1" t="s">
        <v>180</v>
      </c>
      <c r="AF33" s="1" t="str">
        <f t="shared" si="8"/>
        <v/>
      </c>
      <c r="AG33" s="1" t="s">
        <v>416</v>
      </c>
      <c r="AH33" s="1" t="str">
        <f t="shared" si="9"/>
        <v/>
      </c>
      <c r="AI33" s="1" t="s">
        <v>683</v>
      </c>
      <c r="AJ33" s="1" t="str">
        <f t="shared" si="10"/>
        <v/>
      </c>
      <c r="AK33" s="1" t="s">
        <v>430</v>
      </c>
      <c r="AL33" s="1" t="str">
        <f t="shared" si="11"/>
        <v/>
      </c>
    </row>
    <row r="34" spans="3:38">
      <c r="C34" s="302">
        <f>IF(Input!D20="yes",1,0)</f>
        <v>0</v>
      </c>
      <c r="D34" s="1" t="s">
        <v>668</v>
      </c>
      <c r="F34" s="408">
        <v>20</v>
      </c>
      <c r="G34" s="302">
        <v>0.49099999999999999</v>
      </c>
      <c r="H34" s="302">
        <v>0</v>
      </c>
      <c r="I34" s="302">
        <v>1</v>
      </c>
      <c r="J34" s="302" t="str">
        <f>IF(C34=0,"",ROUND(((2*F34*G34*H34)/1000)*I34,1))</f>
        <v/>
      </c>
      <c r="K34" s="302" t="str">
        <f>IF(C34=0,"",Input!D$12)</f>
        <v/>
      </c>
      <c r="L34" s="302" t="str">
        <f>IF(C34=0,"",ROUND((J34/K34*100),1))</f>
        <v/>
      </c>
      <c r="O34" s="1" t="s">
        <v>681</v>
      </c>
      <c r="P34" s="19" t="str">
        <f>TEXT(F34,"#,##0")</f>
        <v>20</v>
      </c>
      <c r="Q34" s="406" t="s">
        <v>419</v>
      </c>
      <c r="R34" s="1" t="str">
        <f>TEXT(G34,"0.0000")</f>
        <v>0.4910</v>
      </c>
      <c r="S34" s="1" t="s">
        <v>423</v>
      </c>
      <c r="T34" s="1" t="str">
        <f>TEXT(H34,"#,##0")</f>
        <v>0</v>
      </c>
      <c r="U34" s="1" t="s">
        <v>682</v>
      </c>
      <c r="V34" s="1">
        <f>I34</f>
        <v>1</v>
      </c>
      <c r="W34" s="1" t="s">
        <v>424</v>
      </c>
      <c r="X34" s="1" t="str">
        <f>TEXT(J34,"0.0")</f>
        <v/>
      </c>
      <c r="Y34" s="1" t="s">
        <v>435</v>
      </c>
      <c r="Z34" s="1" t="str">
        <f>IF(C34=0,"",CONCATENATE(O34,P34,Q34,R34,S34,T34,U34,V34,W34,X34,Y34))</f>
        <v/>
      </c>
      <c r="AE34" s="1" t="s">
        <v>180</v>
      </c>
      <c r="AF34" s="1" t="str">
        <f>TEXT(J34,"0.0")</f>
        <v/>
      </c>
      <c r="AG34" s="1" t="s">
        <v>416</v>
      </c>
      <c r="AH34" s="1" t="str">
        <f>TEXT(K34,"0")</f>
        <v/>
      </c>
      <c r="AI34" s="1" t="s">
        <v>683</v>
      </c>
      <c r="AJ34" s="1" t="str">
        <f>TEXT(L34,"0.0")</f>
        <v/>
      </c>
      <c r="AK34" s="1" t="s">
        <v>430</v>
      </c>
      <c r="AL34" s="1" t="str">
        <f>IF(C34=0,"",CONCATENATE(AE34,AF34,AG34,AH34,AI34,AJ34,AK34))</f>
        <v/>
      </c>
    </row>
    <row r="35" spans="3:38">
      <c r="C35" s="302">
        <v>0</v>
      </c>
      <c r="D35" s="1" t="s">
        <v>669</v>
      </c>
      <c r="F35" s="408" t="s">
        <v>118</v>
      </c>
      <c r="G35" s="302">
        <v>0.49099999999999999</v>
      </c>
      <c r="H35" s="302">
        <v>0</v>
      </c>
      <c r="I35" s="302" t="s">
        <v>118</v>
      </c>
      <c r="J35" s="302" t="str">
        <f>IF(C34=0,"",IF(C35=0,"",ROUND(((2*F35*G35*H35)/1000)*I35,1)))</f>
        <v/>
      </c>
      <c r="K35" s="302" t="str">
        <f>IF(C34=0,"",IF(C35=0,"",Input!D$12))</f>
        <v/>
      </c>
      <c r="L35" s="302" t="str">
        <f>IF(C34=0,"",IF(C35=0,"",ROUND((J35/K35*100),1)))</f>
        <v/>
      </c>
      <c r="O35" s="1" t="s">
        <v>681</v>
      </c>
      <c r="P35" s="19" t="str">
        <f>TEXT(F35,"#,##0")</f>
        <v/>
      </c>
      <c r="Q35" s="406" t="s">
        <v>419</v>
      </c>
      <c r="R35" s="1" t="str">
        <f>TEXT(G35,"0.0000")</f>
        <v>0.4910</v>
      </c>
      <c r="S35" s="1" t="s">
        <v>423</v>
      </c>
      <c r="T35" s="1" t="str">
        <f>TEXT(H35,"#,##0")</f>
        <v>0</v>
      </c>
      <c r="U35" s="1" t="s">
        <v>682</v>
      </c>
      <c r="V35" s="1" t="str">
        <f>I35</f>
        <v/>
      </c>
      <c r="W35" s="1" t="s">
        <v>424</v>
      </c>
      <c r="X35" s="1" t="str">
        <f>TEXT(J35,"0.0")</f>
        <v/>
      </c>
      <c r="Y35" s="1" t="s">
        <v>435</v>
      </c>
      <c r="Z35" s="1" t="str">
        <f>IF(C35=0,"",CONCATENATE(O35,P35,Q35,R35,S35,T35,U35,V35,W35,X35,Y35))</f>
        <v/>
      </c>
      <c r="AE35" s="1" t="s">
        <v>180</v>
      </c>
      <c r="AF35" s="1" t="str">
        <f>TEXT(J35,"0.0")</f>
        <v/>
      </c>
      <c r="AG35" s="1" t="s">
        <v>416</v>
      </c>
      <c r="AH35" s="1" t="str">
        <f>TEXT(K35,"0")</f>
        <v/>
      </c>
      <c r="AI35" s="1" t="s">
        <v>683</v>
      </c>
      <c r="AJ35" s="1" t="str">
        <f>TEXT(L35,"0.0")</f>
        <v/>
      </c>
      <c r="AK35" s="1" t="s">
        <v>430</v>
      </c>
      <c r="AL35" s="1" t="str">
        <f>IF(C35=0,"",CONCATENATE(AE35,AF35,AG35,AH35,AI35,AJ35,AK35))</f>
        <v/>
      </c>
    </row>
    <row r="36" spans="3:38">
      <c r="C36" s="302">
        <f>IF(Input!D26="YES",1,0)</f>
        <v>1</v>
      </c>
      <c r="D36" s="1" t="s">
        <v>670</v>
      </c>
      <c r="F36" s="408">
        <f>IF(C36=0,"",Input!D35)</f>
        <v>50</v>
      </c>
      <c r="G36" s="302">
        <f>IF(C36=0,"",Conduit!BB74)</f>
        <v>7.0699999999999999E-2</v>
      </c>
      <c r="H36" s="302">
        <f>IF(C36=0,"",Calcs!E29)</f>
        <v>218</v>
      </c>
      <c r="I36" s="302">
        <f>IF(C36=0,"",IF(Input!D11=1,1,0.866))</f>
        <v>0.86599999999999999</v>
      </c>
      <c r="J36" s="302">
        <f>IF(C36=0,"",ROUND(((2*F36*G36*H36)/1000)*I36,1))</f>
        <v>1.3</v>
      </c>
      <c r="K36" s="302">
        <f>IF(C36=0,"",Input!D$12)</f>
        <v>208</v>
      </c>
      <c r="L36" s="302">
        <f>IF(C36=0,"",ROUND((J36/K36*100),1))</f>
        <v>0.6</v>
      </c>
      <c r="O36" s="1" t="s">
        <v>681</v>
      </c>
      <c r="P36" s="19" t="str">
        <f>TEXT(F36,"#,##0")</f>
        <v>50</v>
      </c>
      <c r="Q36" s="406" t="s">
        <v>419</v>
      </c>
      <c r="R36" s="1" t="str">
        <f>TEXT(G36,"0.0000")</f>
        <v>0.0707</v>
      </c>
      <c r="S36" s="1" t="s">
        <v>423</v>
      </c>
      <c r="T36" s="1" t="str">
        <f>TEXT(H36,"#,##0")</f>
        <v>218</v>
      </c>
      <c r="U36" s="1" t="s">
        <v>682</v>
      </c>
      <c r="V36" s="1">
        <f>I36</f>
        <v>0.86599999999999999</v>
      </c>
      <c r="W36" s="1" t="s">
        <v>424</v>
      </c>
      <c r="X36" s="1" t="str">
        <f>TEXT(J36,"0.0")</f>
        <v>1.3</v>
      </c>
      <c r="Y36" s="1" t="s">
        <v>435</v>
      </c>
      <c r="Z36" s="1" t="str">
        <f>IF(C36=0,"",CONCATENATE(O36,P36,Q36,R36,S36,T36,U36,V36,W36,X36,Y36))</f>
        <v>( 2 X 50' L X 0.0707 R X 218 A ÷ 1,000 X 0.866 ) = 1.3 VD</v>
      </c>
      <c r="AE36" s="1" t="s">
        <v>180</v>
      </c>
      <c r="AF36" s="1" t="str">
        <f>TEXT(J36,"0.0")</f>
        <v>1.3</v>
      </c>
      <c r="AG36" s="1" t="s">
        <v>416</v>
      </c>
      <c r="AH36" s="1" t="str">
        <f>TEXT(K36,"0")</f>
        <v>208</v>
      </c>
      <c r="AI36" s="1" t="s">
        <v>683</v>
      </c>
      <c r="AJ36" s="1" t="str">
        <f>TEXT(L36,"0.0")</f>
        <v>0.6</v>
      </c>
      <c r="AK36" s="1" t="s">
        <v>430</v>
      </c>
      <c r="AL36" s="1" t="str">
        <f>IF(C36=0,"",CONCATENATE(AE36,AF36,AG36,AH36,AI36,AJ36,AK36))</f>
        <v>( 1.3 VD ÷ 208 V X 100 ) = 0.6 % VD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C1:AO38"/>
  <sheetViews>
    <sheetView topLeftCell="A4" workbookViewId="0">
      <selection activeCell="A15" sqref="A15"/>
    </sheetView>
  </sheetViews>
  <sheetFormatPr defaultRowHeight="11.25"/>
  <cols>
    <col min="1" max="6" width="9.140625" style="1"/>
    <col min="7" max="7" width="9.140625" style="22"/>
    <col min="8" max="8" width="12.7109375" style="56" customWidth="1"/>
    <col min="9" max="12" width="9.140625" style="12"/>
    <col min="13" max="13" width="9.140625" style="3"/>
    <col min="14" max="20" width="9.140625" style="1"/>
    <col min="21" max="21" width="3.140625" style="1" customWidth="1"/>
    <col min="22" max="22" width="7" style="1" customWidth="1"/>
    <col min="23" max="23" width="3" style="1" customWidth="1"/>
    <col min="24" max="50" width="9.140625" style="1"/>
    <col min="51" max="51" width="17.42578125" style="1" customWidth="1"/>
    <col min="52" max="16384" width="9.140625" style="1"/>
  </cols>
  <sheetData>
    <row r="1" spans="3:41">
      <c r="G1" s="22">
        <f>((G4*H4)+I4)</f>
        <v>16602</v>
      </c>
    </row>
    <row r="2" spans="3:41">
      <c r="V2" s="1" t="s">
        <v>41</v>
      </c>
      <c r="X2" s="1" t="s">
        <v>111</v>
      </c>
    </row>
    <row r="3" spans="3:41">
      <c r="C3" s="1" t="s">
        <v>658</v>
      </c>
      <c r="E3" s="1" t="s">
        <v>41</v>
      </c>
      <c r="F3" s="1" t="s">
        <v>111</v>
      </c>
      <c r="G3" s="22" t="s">
        <v>49</v>
      </c>
      <c r="H3" s="56" t="s">
        <v>659</v>
      </c>
      <c r="I3" s="12" t="s">
        <v>660</v>
      </c>
      <c r="J3" s="12" t="s">
        <v>661</v>
      </c>
      <c r="K3" s="12" t="s">
        <v>292</v>
      </c>
      <c r="L3" s="12" t="s">
        <v>662</v>
      </c>
      <c r="U3" s="1" t="s">
        <v>180</v>
      </c>
      <c r="V3" s="1">
        <f>E4</f>
        <v>2</v>
      </c>
      <c r="W3" s="1" t="s">
        <v>137</v>
      </c>
      <c r="X3" s="1" t="str">
        <f>F4</f>
        <v>30</v>
      </c>
      <c r="Z3" s="3"/>
      <c r="AB3" s="400"/>
      <c r="AD3" s="400"/>
      <c r="AF3" s="400"/>
      <c r="AH3" s="400"/>
      <c r="AJ3" s="400"/>
    </row>
    <row r="4" spans="3:41">
      <c r="C4" s="302">
        <f>Import!B7</f>
        <v>1</v>
      </c>
      <c r="D4" s="1" t="s">
        <v>74</v>
      </c>
      <c r="E4" s="302">
        <f>IF(C4=0,"",IF(Import!F7=1,2,1.732))</f>
        <v>2</v>
      </c>
      <c r="F4" s="407" t="str">
        <f>IF(C4=0,"",Import!I7)</f>
        <v>30</v>
      </c>
      <c r="G4" s="403">
        <f>IF(C4=0,"",IF(Input!D$33="MANUAL",Input!D$56,M$36))</f>
        <v>16602</v>
      </c>
      <c r="H4" s="404">
        <f>IF(C4=0,"",1)</f>
        <v>1</v>
      </c>
      <c r="I4" s="404">
        <f>IF(C4=0,"",0)</f>
        <v>0</v>
      </c>
      <c r="J4" s="404">
        <f>Import!H7</f>
        <v>4699</v>
      </c>
      <c r="K4" s="404">
        <f>Import!P7</f>
        <v>1</v>
      </c>
      <c r="L4" s="404">
        <f>IF(C4=0,"",Input!D$12)</f>
        <v>208</v>
      </c>
      <c r="M4" s="405">
        <f>IF(C4=0,"",(ROUND(((((G4*H4)+I4)*(1/(1+(E4*F4*((G4*H4)+I4))/(J4*K4*L4))))),0)))</f>
        <v>8222</v>
      </c>
      <c r="N4" s="302">
        <f>IF(C4=0,"",ROUND(M4/1000,1))</f>
        <v>8.1999999999999993</v>
      </c>
      <c r="O4" s="302" t="str">
        <f>IF(C4=0,""," K ")</f>
        <v xml:space="preserve"> K </v>
      </c>
      <c r="P4" s="302" t="str">
        <f>IF(C4=0,"",CONCATENATE(N4,O4))</f>
        <v xml:space="preserve">8.2 K </v>
      </c>
      <c r="R4" s="1" t="s">
        <v>608</v>
      </c>
      <c r="S4" s="1" t="s">
        <v>663</v>
      </c>
      <c r="T4" s="1" t="s">
        <v>664</v>
      </c>
      <c r="U4" s="1" t="s">
        <v>180</v>
      </c>
      <c r="V4" s="12" t="str">
        <f t="shared" ref="V4:V36" si="0">TEXT(E4,"0.000")</f>
        <v>2.000</v>
      </c>
      <c r="W4" s="1" t="s">
        <v>137</v>
      </c>
      <c r="X4" s="12" t="str">
        <f t="shared" ref="X4:X36" si="1">TEXT(X3,"0")</f>
        <v>30</v>
      </c>
      <c r="Y4" s="1" t="s">
        <v>665</v>
      </c>
      <c r="Z4" s="2" t="str">
        <f t="shared" ref="Z4:Z36" si="2">TEXT(G4,"#,##0")</f>
        <v>16,602</v>
      </c>
      <c r="AA4" s="2" t="s">
        <v>557</v>
      </c>
      <c r="AB4" s="401" t="str">
        <f t="shared" ref="AB4:AB36" si="3">TEXT(H4,"0.0")</f>
        <v>1.0</v>
      </c>
      <c r="AC4" s="2" t="s">
        <v>554</v>
      </c>
      <c r="AD4" s="401" t="str">
        <f t="shared" ref="AD4:AD36" si="4">TEXT(I4,"0.0")</f>
        <v>0.0</v>
      </c>
      <c r="AE4" s="1" t="s">
        <v>666</v>
      </c>
      <c r="AF4" s="402" t="str">
        <f t="shared" ref="AF4:AF36" si="5">TEXT(J4,"#,##0")</f>
        <v>4,699</v>
      </c>
      <c r="AG4" s="2" t="s">
        <v>585</v>
      </c>
      <c r="AH4" s="402" t="str">
        <f t="shared" ref="AH4:AH36" si="6">TEXT(K4,"0")</f>
        <v>1</v>
      </c>
      <c r="AI4" s="2" t="s">
        <v>586</v>
      </c>
      <c r="AJ4" s="402" t="str">
        <f t="shared" ref="AJ4:AJ36" si="7">TEXT(L4,"0")</f>
        <v>208</v>
      </c>
      <c r="AK4" s="1" t="s">
        <v>667</v>
      </c>
      <c r="AL4" s="1" t="str">
        <f t="shared" ref="AL4:AL36" si="8">TEXT(M4,"#,##0")</f>
        <v>8,222</v>
      </c>
      <c r="AM4" s="1" t="s">
        <v>597</v>
      </c>
      <c r="AO4" s="1" t="str">
        <f t="shared" ref="AO4:AO36" si="9">CONCATENATE(R4,Z4,AA4,AB4,AC4,AD4,S4,T4,U4,V4,W4,X4,Y4,Z4,AA4,AB4,AC4,AD4,AE4,AF4,AG4,AH4,AI4,AJ4,AK4,AL4,AM4)</f>
        <v>(( 16,602 AFC X 1.0 UA ) + 0.0 MC ) X ( 1  ÷ ( 1 + ( 2.000 X 30 L X (( 16,602 AFC X 1.0 UA ) + 0.0 MC )) ÷ ( 4,699 C X 1 N X 208 V ))) = 8,222 CLC</v>
      </c>
    </row>
    <row r="5" spans="3:41">
      <c r="C5" s="302">
        <f>Import!B8</f>
        <v>1</v>
      </c>
      <c r="D5" s="1" t="s">
        <v>75</v>
      </c>
      <c r="E5" s="302">
        <f>IF(C5=0,"",IF(Import!F8=1,2,1.732))</f>
        <v>2</v>
      </c>
      <c r="F5" s="407" t="str">
        <f>IF(C5=0,"",Import!I8)</f>
        <v>30</v>
      </c>
      <c r="G5" s="403">
        <f>IF(C5=0,"",IF(Input!D$33="MANUAL",Input!D$56,M$36))</f>
        <v>16602</v>
      </c>
      <c r="H5" s="404">
        <f t="shared" ref="H5:H33" si="10">IF(C5=0,"",1)</f>
        <v>1</v>
      </c>
      <c r="I5" s="404">
        <f t="shared" ref="I5:I33" si="11">IF(C5=0,"",0)</f>
        <v>0</v>
      </c>
      <c r="J5" s="404">
        <f>Import!H8</f>
        <v>4699</v>
      </c>
      <c r="K5" s="404">
        <f>Import!P8</f>
        <v>1</v>
      </c>
      <c r="L5" s="404">
        <f>IF(C5=0,"",Input!D$12)</f>
        <v>208</v>
      </c>
      <c r="M5" s="405">
        <f t="shared" ref="M5:M34" si="12">IF(C5=0,"",(ROUND(((((G5*H5)+I5)*(1/(1+(E5*F5*((G5*H5)+I5))/(J5*K5*L5))))),0)))</f>
        <v>8222</v>
      </c>
      <c r="N5" s="302">
        <f t="shared" ref="N5:N34" si="13">IF(C5=0,"",ROUND(M5/1000,1))</f>
        <v>8.1999999999999993</v>
      </c>
      <c r="O5" s="302" t="str">
        <f t="shared" ref="O5:O34" si="14">IF(C5=0,""," K ")</f>
        <v xml:space="preserve"> K </v>
      </c>
      <c r="P5" s="302" t="str">
        <f t="shared" ref="P5:P33" si="15">IF(C5=0,"",CONCATENATE(N5,O5))</f>
        <v xml:space="preserve">8.2 K </v>
      </c>
      <c r="R5" s="1" t="s">
        <v>608</v>
      </c>
      <c r="S5" s="1" t="s">
        <v>663</v>
      </c>
      <c r="T5" s="1" t="s">
        <v>664</v>
      </c>
      <c r="U5" s="1" t="s">
        <v>180</v>
      </c>
      <c r="V5" s="12" t="str">
        <f t="shared" si="0"/>
        <v>2.000</v>
      </c>
      <c r="W5" s="1" t="s">
        <v>137</v>
      </c>
      <c r="X5" s="12" t="str">
        <f t="shared" si="1"/>
        <v>30</v>
      </c>
      <c r="Y5" s="1" t="s">
        <v>665</v>
      </c>
      <c r="Z5" s="2" t="str">
        <f t="shared" si="2"/>
        <v>16,602</v>
      </c>
      <c r="AA5" s="2" t="s">
        <v>557</v>
      </c>
      <c r="AB5" s="401" t="str">
        <f t="shared" si="3"/>
        <v>1.0</v>
      </c>
      <c r="AC5" s="2" t="s">
        <v>554</v>
      </c>
      <c r="AD5" s="401" t="str">
        <f t="shared" si="4"/>
        <v>0.0</v>
      </c>
      <c r="AE5" s="1" t="s">
        <v>666</v>
      </c>
      <c r="AF5" s="402" t="str">
        <f t="shared" si="5"/>
        <v>4,699</v>
      </c>
      <c r="AG5" s="2" t="s">
        <v>585</v>
      </c>
      <c r="AH5" s="402" t="str">
        <f t="shared" si="6"/>
        <v>1</v>
      </c>
      <c r="AI5" s="2" t="s">
        <v>586</v>
      </c>
      <c r="AJ5" s="402" t="str">
        <f t="shared" si="7"/>
        <v>208</v>
      </c>
      <c r="AK5" s="1" t="s">
        <v>667</v>
      </c>
      <c r="AL5" s="1" t="str">
        <f t="shared" si="8"/>
        <v>8,222</v>
      </c>
      <c r="AM5" s="1" t="s">
        <v>597</v>
      </c>
      <c r="AO5" s="1" t="str">
        <f t="shared" si="9"/>
        <v>(( 16,602 AFC X 1.0 UA ) + 0.0 MC ) X ( 1  ÷ ( 1 + ( 2.000 X 30 L X (( 16,602 AFC X 1.0 UA ) + 0.0 MC )) ÷ ( 4,699 C X 1 N X 208 V ))) = 8,222 CLC</v>
      </c>
    </row>
    <row r="6" spans="3:41">
      <c r="C6" s="302">
        <f>Import!B9</f>
        <v>1</v>
      </c>
      <c r="D6" s="1" t="s">
        <v>76</v>
      </c>
      <c r="E6" s="302">
        <f>IF(C6=0,"",IF(Import!F9=1,2,1.732))</f>
        <v>2</v>
      </c>
      <c r="F6" s="407" t="str">
        <f>IF(C6=0,"",Import!I9)</f>
        <v>30</v>
      </c>
      <c r="G6" s="403">
        <f>IF(C6=0,"",IF(Input!D$33="MANUAL",Input!D$56,M$36))</f>
        <v>16602</v>
      </c>
      <c r="H6" s="404">
        <f t="shared" si="10"/>
        <v>1</v>
      </c>
      <c r="I6" s="404">
        <f t="shared" si="11"/>
        <v>0</v>
      </c>
      <c r="J6" s="404">
        <f>Import!H9</f>
        <v>4699</v>
      </c>
      <c r="K6" s="404">
        <f>Import!P9</f>
        <v>1</v>
      </c>
      <c r="L6" s="404">
        <f>IF(C6=0,"",Input!D$12)</f>
        <v>208</v>
      </c>
      <c r="M6" s="405">
        <f t="shared" si="12"/>
        <v>8222</v>
      </c>
      <c r="N6" s="302">
        <f t="shared" si="13"/>
        <v>8.1999999999999993</v>
      </c>
      <c r="O6" s="302" t="str">
        <f t="shared" si="14"/>
        <v xml:space="preserve"> K </v>
      </c>
      <c r="P6" s="302" t="str">
        <f t="shared" si="15"/>
        <v xml:space="preserve">8.2 K </v>
      </c>
      <c r="R6" s="1" t="s">
        <v>608</v>
      </c>
      <c r="S6" s="1" t="s">
        <v>663</v>
      </c>
      <c r="T6" s="1" t="s">
        <v>664</v>
      </c>
      <c r="U6" s="1" t="s">
        <v>180</v>
      </c>
      <c r="V6" s="12" t="str">
        <f t="shared" si="0"/>
        <v>2.000</v>
      </c>
      <c r="W6" s="1" t="s">
        <v>137</v>
      </c>
      <c r="X6" s="12" t="str">
        <f t="shared" si="1"/>
        <v>30</v>
      </c>
      <c r="Y6" s="1" t="s">
        <v>665</v>
      </c>
      <c r="Z6" s="2" t="str">
        <f t="shared" si="2"/>
        <v>16,602</v>
      </c>
      <c r="AA6" s="2" t="s">
        <v>557</v>
      </c>
      <c r="AB6" s="401" t="str">
        <f t="shared" si="3"/>
        <v>1.0</v>
      </c>
      <c r="AC6" s="2" t="s">
        <v>554</v>
      </c>
      <c r="AD6" s="401" t="str">
        <f t="shared" si="4"/>
        <v>0.0</v>
      </c>
      <c r="AE6" s="1" t="s">
        <v>666</v>
      </c>
      <c r="AF6" s="402" t="str">
        <f t="shared" si="5"/>
        <v>4,699</v>
      </c>
      <c r="AG6" s="2" t="s">
        <v>585</v>
      </c>
      <c r="AH6" s="402" t="str">
        <f t="shared" si="6"/>
        <v>1</v>
      </c>
      <c r="AI6" s="2" t="s">
        <v>586</v>
      </c>
      <c r="AJ6" s="402" t="str">
        <f t="shared" si="7"/>
        <v>208</v>
      </c>
      <c r="AK6" s="1" t="s">
        <v>667</v>
      </c>
      <c r="AL6" s="1" t="str">
        <f t="shared" si="8"/>
        <v>8,222</v>
      </c>
      <c r="AM6" s="1" t="s">
        <v>597</v>
      </c>
      <c r="AO6" s="1" t="str">
        <f t="shared" si="9"/>
        <v>(( 16,602 AFC X 1.0 UA ) + 0.0 MC ) X ( 1  ÷ ( 1 + ( 2.000 X 30 L X (( 16,602 AFC X 1.0 UA ) + 0.0 MC )) ÷ ( 4,699 C X 1 N X 208 V ))) = 8,222 CLC</v>
      </c>
    </row>
    <row r="7" spans="3:41">
      <c r="C7" s="302">
        <f>Import!B10</f>
        <v>1</v>
      </c>
      <c r="D7" s="1" t="s">
        <v>77</v>
      </c>
      <c r="E7" s="302">
        <f>IF(C7=0,"",IF(Import!F10=1,2,1.732))</f>
        <v>2</v>
      </c>
      <c r="F7" s="407" t="str">
        <f>IF(C7=0,"",Import!I10)</f>
        <v>30</v>
      </c>
      <c r="G7" s="403">
        <f>IF(C7=0,"",IF(Input!D$33="MANUAL",Input!D$56,M$36))</f>
        <v>16602</v>
      </c>
      <c r="H7" s="404">
        <f t="shared" si="10"/>
        <v>1</v>
      </c>
      <c r="I7" s="404">
        <f t="shared" si="11"/>
        <v>0</v>
      </c>
      <c r="J7" s="404">
        <f>Import!H10</f>
        <v>4699</v>
      </c>
      <c r="K7" s="404">
        <f>Import!P10</f>
        <v>1</v>
      </c>
      <c r="L7" s="404">
        <f>IF(C7=0,"",Input!D$12)</f>
        <v>208</v>
      </c>
      <c r="M7" s="405">
        <f t="shared" si="12"/>
        <v>8222</v>
      </c>
      <c r="N7" s="302">
        <f t="shared" si="13"/>
        <v>8.1999999999999993</v>
      </c>
      <c r="O7" s="302" t="str">
        <f t="shared" si="14"/>
        <v xml:space="preserve"> K </v>
      </c>
      <c r="P7" s="302" t="str">
        <f t="shared" si="15"/>
        <v xml:space="preserve">8.2 K </v>
      </c>
      <c r="R7" s="1" t="s">
        <v>608</v>
      </c>
      <c r="S7" s="1" t="s">
        <v>663</v>
      </c>
      <c r="T7" s="1" t="s">
        <v>664</v>
      </c>
      <c r="U7" s="1" t="s">
        <v>180</v>
      </c>
      <c r="V7" s="12" t="str">
        <f t="shared" si="0"/>
        <v>2.000</v>
      </c>
      <c r="W7" s="1" t="s">
        <v>137</v>
      </c>
      <c r="X7" s="12" t="str">
        <f t="shared" si="1"/>
        <v>30</v>
      </c>
      <c r="Y7" s="1" t="s">
        <v>665</v>
      </c>
      <c r="Z7" s="2" t="str">
        <f t="shared" si="2"/>
        <v>16,602</v>
      </c>
      <c r="AA7" s="2" t="s">
        <v>557</v>
      </c>
      <c r="AB7" s="401" t="str">
        <f t="shared" si="3"/>
        <v>1.0</v>
      </c>
      <c r="AC7" s="2" t="s">
        <v>554</v>
      </c>
      <c r="AD7" s="401" t="str">
        <f t="shared" si="4"/>
        <v>0.0</v>
      </c>
      <c r="AE7" s="1" t="s">
        <v>666</v>
      </c>
      <c r="AF7" s="402" t="str">
        <f t="shared" si="5"/>
        <v>4,699</v>
      </c>
      <c r="AG7" s="2" t="s">
        <v>585</v>
      </c>
      <c r="AH7" s="402" t="str">
        <f t="shared" si="6"/>
        <v>1</v>
      </c>
      <c r="AI7" s="2" t="s">
        <v>586</v>
      </c>
      <c r="AJ7" s="402" t="str">
        <f t="shared" si="7"/>
        <v>208</v>
      </c>
      <c r="AK7" s="1" t="s">
        <v>667</v>
      </c>
      <c r="AL7" s="1" t="str">
        <f t="shared" si="8"/>
        <v>8,222</v>
      </c>
      <c r="AM7" s="1" t="s">
        <v>597</v>
      </c>
      <c r="AO7" s="1" t="str">
        <f t="shared" si="9"/>
        <v>(( 16,602 AFC X 1.0 UA ) + 0.0 MC ) X ( 1  ÷ ( 1 + ( 2.000 X 30 L X (( 16,602 AFC X 1.0 UA ) + 0.0 MC )) ÷ ( 4,699 C X 1 N X 208 V ))) = 8,222 CLC</v>
      </c>
    </row>
    <row r="8" spans="3:41">
      <c r="C8" s="302">
        <f>Import!B11</f>
        <v>1</v>
      </c>
      <c r="D8" s="1" t="s">
        <v>78</v>
      </c>
      <c r="E8" s="302">
        <f>IF(C8=0,"",IF(Import!F11=1,2,1.732))</f>
        <v>2</v>
      </c>
      <c r="F8" s="407" t="str">
        <f>IF(C8=0,"",Import!I11)</f>
        <v>30</v>
      </c>
      <c r="G8" s="403">
        <f>IF(C8=0,"",IF(Input!D$33="MANUAL",Input!D$56,M$36))</f>
        <v>16602</v>
      </c>
      <c r="H8" s="404">
        <f t="shared" si="10"/>
        <v>1</v>
      </c>
      <c r="I8" s="404">
        <f t="shared" si="11"/>
        <v>0</v>
      </c>
      <c r="J8" s="404">
        <f>Import!H11</f>
        <v>4699</v>
      </c>
      <c r="K8" s="404">
        <f>Import!P11</f>
        <v>1</v>
      </c>
      <c r="L8" s="404">
        <f>IF(C8=0,"",Input!D$12)</f>
        <v>208</v>
      </c>
      <c r="M8" s="405">
        <f t="shared" si="12"/>
        <v>8222</v>
      </c>
      <c r="N8" s="302">
        <f t="shared" si="13"/>
        <v>8.1999999999999993</v>
      </c>
      <c r="O8" s="302" t="str">
        <f t="shared" si="14"/>
        <v xml:space="preserve"> K </v>
      </c>
      <c r="P8" s="302" t="str">
        <f t="shared" si="15"/>
        <v xml:space="preserve">8.2 K </v>
      </c>
      <c r="R8" s="1" t="s">
        <v>608</v>
      </c>
      <c r="S8" s="1" t="s">
        <v>663</v>
      </c>
      <c r="T8" s="1" t="s">
        <v>664</v>
      </c>
      <c r="U8" s="1" t="s">
        <v>180</v>
      </c>
      <c r="V8" s="12" t="str">
        <f t="shared" si="0"/>
        <v>2.000</v>
      </c>
      <c r="W8" s="1" t="s">
        <v>137</v>
      </c>
      <c r="X8" s="12" t="str">
        <f t="shared" si="1"/>
        <v>30</v>
      </c>
      <c r="Y8" s="1" t="s">
        <v>665</v>
      </c>
      <c r="Z8" s="2" t="str">
        <f t="shared" si="2"/>
        <v>16,602</v>
      </c>
      <c r="AA8" s="2" t="s">
        <v>557</v>
      </c>
      <c r="AB8" s="401" t="str">
        <f t="shared" si="3"/>
        <v>1.0</v>
      </c>
      <c r="AC8" s="2" t="s">
        <v>554</v>
      </c>
      <c r="AD8" s="401" t="str">
        <f t="shared" si="4"/>
        <v>0.0</v>
      </c>
      <c r="AE8" s="1" t="s">
        <v>666</v>
      </c>
      <c r="AF8" s="402" t="str">
        <f t="shared" si="5"/>
        <v>4,699</v>
      </c>
      <c r="AG8" s="2" t="s">
        <v>585</v>
      </c>
      <c r="AH8" s="402" t="str">
        <f t="shared" si="6"/>
        <v>1</v>
      </c>
      <c r="AI8" s="2" t="s">
        <v>586</v>
      </c>
      <c r="AJ8" s="402" t="str">
        <f t="shared" si="7"/>
        <v>208</v>
      </c>
      <c r="AK8" s="1" t="s">
        <v>667</v>
      </c>
      <c r="AL8" s="1" t="str">
        <f t="shared" si="8"/>
        <v>8,222</v>
      </c>
      <c r="AM8" s="1" t="s">
        <v>597</v>
      </c>
      <c r="AO8" s="1" t="str">
        <f t="shared" si="9"/>
        <v>(( 16,602 AFC X 1.0 UA ) + 0.0 MC ) X ( 1  ÷ ( 1 + ( 2.000 X 30 L X (( 16,602 AFC X 1.0 UA ) + 0.0 MC )) ÷ ( 4,699 C X 1 N X 208 V ))) = 8,222 CLC</v>
      </c>
    </row>
    <row r="9" spans="3:41">
      <c r="C9" s="302">
        <f>Import!B12</f>
        <v>1</v>
      </c>
      <c r="D9" s="1" t="s">
        <v>79</v>
      </c>
      <c r="E9" s="302">
        <f>IF(C9=0,"",IF(Import!F12=1,2,1.732))</f>
        <v>2</v>
      </c>
      <c r="F9" s="407" t="str">
        <f>IF(C9=0,"",Import!I12)</f>
        <v>30</v>
      </c>
      <c r="G9" s="403">
        <f>IF(C9=0,"",IF(Input!D$33="MANUAL",Input!D$56,M$36))</f>
        <v>16602</v>
      </c>
      <c r="H9" s="404">
        <f t="shared" si="10"/>
        <v>1</v>
      </c>
      <c r="I9" s="404">
        <f t="shared" si="11"/>
        <v>0</v>
      </c>
      <c r="J9" s="404">
        <f>Import!H12</f>
        <v>4699</v>
      </c>
      <c r="K9" s="404">
        <f>Import!P12</f>
        <v>1</v>
      </c>
      <c r="L9" s="404">
        <f>IF(C9=0,"",Input!D$12)</f>
        <v>208</v>
      </c>
      <c r="M9" s="405">
        <f t="shared" si="12"/>
        <v>8222</v>
      </c>
      <c r="N9" s="302">
        <f t="shared" si="13"/>
        <v>8.1999999999999993</v>
      </c>
      <c r="O9" s="302" t="str">
        <f t="shared" si="14"/>
        <v xml:space="preserve"> K </v>
      </c>
      <c r="P9" s="302" t="str">
        <f t="shared" si="15"/>
        <v xml:space="preserve">8.2 K </v>
      </c>
      <c r="R9" s="1" t="s">
        <v>608</v>
      </c>
      <c r="S9" s="1" t="s">
        <v>663</v>
      </c>
      <c r="T9" s="1" t="s">
        <v>664</v>
      </c>
      <c r="U9" s="1" t="s">
        <v>180</v>
      </c>
      <c r="V9" s="12" t="str">
        <f t="shared" si="0"/>
        <v>2.000</v>
      </c>
      <c r="W9" s="1" t="s">
        <v>137</v>
      </c>
      <c r="X9" s="12" t="str">
        <f t="shared" si="1"/>
        <v>30</v>
      </c>
      <c r="Y9" s="1" t="s">
        <v>665</v>
      </c>
      <c r="Z9" s="2" t="str">
        <f t="shared" si="2"/>
        <v>16,602</v>
      </c>
      <c r="AA9" s="2" t="s">
        <v>557</v>
      </c>
      <c r="AB9" s="401" t="str">
        <f t="shared" si="3"/>
        <v>1.0</v>
      </c>
      <c r="AC9" s="2" t="s">
        <v>554</v>
      </c>
      <c r="AD9" s="401" t="str">
        <f t="shared" si="4"/>
        <v>0.0</v>
      </c>
      <c r="AE9" s="1" t="s">
        <v>666</v>
      </c>
      <c r="AF9" s="402" t="str">
        <f t="shared" si="5"/>
        <v>4,699</v>
      </c>
      <c r="AG9" s="2" t="s">
        <v>585</v>
      </c>
      <c r="AH9" s="402" t="str">
        <f t="shared" si="6"/>
        <v>1</v>
      </c>
      <c r="AI9" s="2" t="s">
        <v>586</v>
      </c>
      <c r="AJ9" s="402" t="str">
        <f t="shared" si="7"/>
        <v>208</v>
      </c>
      <c r="AK9" s="1" t="s">
        <v>667</v>
      </c>
      <c r="AL9" s="1" t="str">
        <f t="shared" si="8"/>
        <v>8,222</v>
      </c>
      <c r="AM9" s="1" t="s">
        <v>597</v>
      </c>
      <c r="AO9" s="1" t="str">
        <f t="shared" si="9"/>
        <v>(( 16,602 AFC X 1.0 UA ) + 0.0 MC ) X ( 1  ÷ ( 1 + ( 2.000 X 30 L X (( 16,602 AFC X 1.0 UA ) + 0.0 MC )) ÷ ( 4,699 C X 1 N X 208 V ))) = 8,222 CLC</v>
      </c>
    </row>
    <row r="10" spans="3:41">
      <c r="C10" s="302">
        <f>Import!B13</f>
        <v>0</v>
      </c>
      <c r="D10" s="1" t="s">
        <v>80</v>
      </c>
      <c r="E10" s="302" t="str">
        <f>IF(C10=0,"",IF(Import!F13=1,2,1.732))</f>
        <v/>
      </c>
      <c r="F10" s="407" t="str">
        <f>IF(C10=0,"",Import!I13)</f>
        <v/>
      </c>
      <c r="G10" s="403" t="str">
        <f>IF(C10=0,"",IF(Input!D$33="MANUAL",Input!D$56,M$36))</f>
        <v/>
      </c>
      <c r="H10" s="404" t="str">
        <f t="shared" si="10"/>
        <v/>
      </c>
      <c r="I10" s="404" t="str">
        <f t="shared" si="11"/>
        <v/>
      </c>
      <c r="J10" s="404" t="str">
        <f>Import!H13</f>
        <v xml:space="preserve"> </v>
      </c>
      <c r="K10" s="404" t="str">
        <f>Import!P13</f>
        <v xml:space="preserve"> </v>
      </c>
      <c r="L10" s="404" t="str">
        <f>IF(C10=0,"",Input!D$12)</f>
        <v/>
      </c>
      <c r="M10" s="405" t="str">
        <f t="shared" si="12"/>
        <v/>
      </c>
      <c r="N10" s="302" t="str">
        <f t="shared" si="13"/>
        <v/>
      </c>
      <c r="O10" s="302" t="str">
        <f t="shared" si="14"/>
        <v/>
      </c>
      <c r="P10" s="302" t="str">
        <f t="shared" si="15"/>
        <v/>
      </c>
      <c r="R10" s="1" t="s">
        <v>608</v>
      </c>
      <c r="S10" s="1" t="s">
        <v>663</v>
      </c>
      <c r="T10" s="1" t="s">
        <v>664</v>
      </c>
      <c r="U10" s="1" t="s">
        <v>180</v>
      </c>
      <c r="V10" s="12" t="str">
        <f t="shared" si="0"/>
        <v/>
      </c>
      <c r="W10" s="1" t="s">
        <v>137</v>
      </c>
      <c r="X10" s="12" t="str">
        <f t="shared" si="1"/>
        <v>30</v>
      </c>
      <c r="Y10" s="1" t="s">
        <v>665</v>
      </c>
      <c r="Z10" s="2" t="str">
        <f t="shared" si="2"/>
        <v/>
      </c>
      <c r="AA10" s="2" t="s">
        <v>557</v>
      </c>
      <c r="AB10" s="401" t="str">
        <f t="shared" si="3"/>
        <v/>
      </c>
      <c r="AC10" s="2" t="s">
        <v>554</v>
      </c>
      <c r="AD10" s="401" t="str">
        <f t="shared" si="4"/>
        <v/>
      </c>
      <c r="AE10" s="1" t="s">
        <v>666</v>
      </c>
      <c r="AF10" s="402" t="str">
        <f t="shared" si="5"/>
        <v xml:space="preserve"> </v>
      </c>
      <c r="AG10" s="2" t="s">
        <v>585</v>
      </c>
      <c r="AH10" s="402" t="str">
        <f t="shared" si="6"/>
        <v xml:space="preserve"> </v>
      </c>
      <c r="AI10" s="2" t="s">
        <v>586</v>
      </c>
      <c r="AJ10" s="402" t="str">
        <f t="shared" si="7"/>
        <v/>
      </c>
      <c r="AK10" s="1" t="s">
        <v>667</v>
      </c>
      <c r="AL10" s="1" t="str">
        <f t="shared" si="8"/>
        <v/>
      </c>
      <c r="AM10" s="1" t="s">
        <v>597</v>
      </c>
      <c r="AO10" s="1" t="str">
        <f t="shared" si="9"/>
        <v>((  AFC X  UA ) +  MC ) X ( 1  ÷ ( 1 + (  X 30 L X ((  AFC X  UA ) +  MC )) ÷ (   C X   N X  V ))) =  CLC</v>
      </c>
    </row>
    <row r="11" spans="3:41">
      <c r="C11" s="302">
        <f>Import!B14</f>
        <v>0</v>
      </c>
      <c r="D11" s="1" t="s">
        <v>81</v>
      </c>
      <c r="E11" s="302" t="str">
        <f>IF(C11=0,"",IF(Import!F14=1,2,1.732))</f>
        <v/>
      </c>
      <c r="F11" s="407" t="str">
        <f>IF(C11=0,"",Import!I14)</f>
        <v/>
      </c>
      <c r="G11" s="403" t="str">
        <f>IF(C11=0,"",IF(Input!D$33="MANUAL",Input!D$56,M$36))</f>
        <v/>
      </c>
      <c r="H11" s="404" t="str">
        <f t="shared" si="10"/>
        <v/>
      </c>
      <c r="I11" s="404" t="str">
        <f t="shared" si="11"/>
        <v/>
      </c>
      <c r="J11" s="404" t="str">
        <f>Import!H14</f>
        <v xml:space="preserve"> </v>
      </c>
      <c r="K11" s="404" t="str">
        <f>Import!P14</f>
        <v xml:space="preserve"> </v>
      </c>
      <c r="L11" s="404" t="str">
        <f>IF(C11=0,"",Input!D$12)</f>
        <v/>
      </c>
      <c r="M11" s="405" t="str">
        <f t="shared" si="12"/>
        <v/>
      </c>
      <c r="N11" s="302" t="str">
        <f t="shared" si="13"/>
        <v/>
      </c>
      <c r="O11" s="302" t="str">
        <f t="shared" si="14"/>
        <v/>
      </c>
      <c r="P11" s="302" t="str">
        <f t="shared" si="15"/>
        <v/>
      </c>
      <c r="R11" s="1" t="s">
        <v>608</v>
      </c>
      <c r="S11" s="1" t="s">
        <v>663</v>
      </c>
      <c r="T11" s="1" t="s">
        <v>664</v>
      </c>
      <c r="U11" s="1" t="s">
        <v>180</v>
      </c>
      <c r="V11" s="12" t="str">
        <f t="shared" si="0"/>
        <v/>
      </c>
      <c r="W11" s="1" t="s">
        <v>137</v>
      </c>
      <c r="X11" s="12" t="str">
        <f t="shared" si="1"/>
        <v>30</v>
      </c>
      <c r="Y11" s="1" t="s">
        <v>665</v>
      </c>
      <c r="Z11" s="2" t="str">
        <f t="shared" si="2"/>
        <v/>
      </c>
      <c r="AA11" s="2" t="s">
        <v>557</v>
      </c>
      <c r="AB11" s="401" t="str">
        <f t="shared" si="3"/>
        <v/>
      </c>
      <c r="AC11" s="2" t="s">
        <v>554</v>
      </c>
      <c r="AD11" s="401" t="str">
        <f t="shared" si="4"/>
        <v/>
      </c>
      <c r="AE11" s="1" t="s">
        <v>666</v>
      </c>
      <c r="AF11" s="402" t="str">
        <f t="shared" si="5"/>
        <v xml:space="preserve"> </v>
      </c>
      <c r="AG11" s="2" t="s">
        <v>585</v>
      </c>
      <c r="AH11" s="402" t="str">
        <f t="shared" si="6"/>
        <v xml:space="preserve"> </v>
      </c>
      <c r="AI11" s="2" t="s">
        <v>586</v>
      </c>
      <c r="AJ11" s="402" t="str">
        <f t="shared" si="7"/>
        <v/>
      </c>
      <c r="AK11" s="1" t="s">
        <v>667</v>
      </c>
      <c r="AL11" s="1" t="str">
        <f t="shared" si="8"/>
        <v/>
      </c>
      <c r="AM11" s="1" t="s">
        <v>597</v>
      </c>
      <c r="AO11" s="1" t="str">
        <f t="shared" si="9"/>
        <v>((  AFC X  UA ) +  MC ) X ( 1  ÷ ( 1 + (  X 30 L X ((  AFC X  UA ) +  MC )) ÷ (   C X   N X  V ))) =  CLC</v>
      </c>
    </row>
    <row r="12" spans="3:41">
      <c r="C12" s="302">
        <f>Import!B15</f>
        <v>0</v>
      </c>
      <c r="D12" s="1" t="s">
        <v>82</v>
      </c>
      <c r="E12" s="302" t="str">
        <f>IF(C12=0,"",IF(Import!F15=1,2,1.732))</f>
        <v/>
      </c>
      <c r="F12" s="407" t="str">
        <f>IF(C12=0,"",Import!I15)</f>
        <v/>
      </c>
      <c r="G12" s="403" t="str">
        <f>IF(C12=0,"",IF(Input!D$33="MANUAL",Input!D$56,M$36))</f>
        <v/>
      </c>
      <c r="H12" s="404" t="str">
        <f t="shared" si="10"/>
        <v/>
      </c>
      <c r="I12" s="404" t="str">
        <f t="shared" si="11"/>
        <v/>
      </c>
      <c r="J12" s="404" t="str">
        <f>Import!H15</f>
        <v xml:space="preserve"> </v>
      </c>
      <c r="K12" s="404" t="str">
        <f>Import!P15</f>
        <v xml:space="preserve"> </v>
      </c>
      <c r="L12" s="404" t="str">
        <f>IF(C12=0,"",Input!D$12)</f>
        <v/>
      </c>
      <c r="M12" s="405" t="str">
        <f t="shared" si="12"/>
        <v/>
      </c>
      <c r="N12" s="302" t="str">
        <f t="shared" si="13"/>
        <v/>
      </c>
      <c r="O12" s="302" t="str">
        <f t="shared" si="14"/>
        <v/>
      </c>
      <c r="P12" s="302" t="str">
        <f t="shared" si="15"/>
        <v/>
      </c>
      <c r="R12" s="1" t="s">
        <v>608</v>
      </c>
      <c r="S12" s="1" t="s">
        <v>663</v>
      </c>
      <c r="T12" s="1" t="s">
        <v>664</v>
      </c>
      <c r="U12" s="1" t="s">
        <v>180</v>
      </c>
      <c r="V12" s="12" t="str">
        <f t="shared" si="0"/>
        <v/>
      </c>
      <c r="W12" s="1" t="s">
        <v>137</v>
      </c>
      <c r="X12" s="12" t="str">
        <f t="shared" si="1"/>
        <v>30</v>
      </c>
      <c r="Y12" s="1" t="s">
        <v>665</v>
      </c>
      <c r="Z12" s="2" t="str">
        <f t="shared" si="2"/>
        <v/>
      </c>
      <c r="AA12" s="2" t="s">
        <v>557</v>
      </c>
      <c r="AB12" s="401" t="str">
        <f t="shared" si="3"/>
        <v/>
      </c>
      <c r="AC12" s="2" t="s">
        <v>554</v>
      </c>
      <c r="AD12" s="401" t="str">
        <f t="shared" si="4"/>
        <v/>
      </c>
      <c r="AE12" s="1" t="s">
        <v>666</v>
      </c>
      <c r="AF12" s="402" t="str">
        <f t="shared" si="5"/>
        <v xml:space="preserve"> </v>
      </c>
      <c r="AG12" s="2" t="s">
        <v>585</v>
      </c>
      <c r="AH12" s="402" t="str">
        <f t="shared" si="6"/>
        <v xml:space="preserve"> </v>
      </c>
      <c r="AI12" s="2" t="s">
        <v>586</v>
      </c>
      <c r="AJ12" s="402" t="str">
        <f t="shared" si="7"/>
        <v/>
      </c>
      <c r="AK12" s="1" t="s">
        <v>667</v>
      </c>
      <c r="AL12" s="1" t="str">
        <f t="shared" si="8"/>
        <v/>
      </c>
      <c r="AM12" s="1" t="s">
        <v>597</v>
      </c>
      <c r="AO12" s="1" t="str">
        <f t="shared" si="9"/>
        <v>((  AFC X  UA ) +  MC ) X ( 1  ÷ ( 1 + (  X 30 L X ((  AFC X  UA ) +  MC )) ÷ (   C X   N X  V ))) =  CLC</v>
      </c>
    </row>
    <row r="13" spans="3:41">
      <c r="C13" s="302">
        <f>Import!B16</f>
        <v>0</v>
      </c>
      <c r="D13" s="1" t="s">
        <v>83</v>
      </c>
      <c r="E13" s="302" t="str">
        <f>IF(C13=0,"",IF(Import!F16=1,2,1.732))</f>
        <v/>
      </c>
      <c r="F13" s="407" t="str">
        <f>IF(C13=0,"",Import!I16)</f>
        <v/>
      </c>
      <c r="G13" s="403" t="str">
        <f>IF(C13=0,"",IF(Input!D$33="MANUAL",Input!D$56,M$36))</f>
        <v/>
      </c>
      <c r="H13" s="404" t="str">
        <f t="shared" si="10"/>
        <v/>
      </c>
      <c r="I13" s="404" t="str">
        <f t="shared" si="11"/>
        <v/>
      </c>
      <c r="J13" s="404" t="str">
        <f>Import!H16</f>
        <v xml:space="preserve"> </v>
      </c>
      <c r="K13" s="404" t="str">
        <f>Import!P16</f>
        <v xml:space="preserve"> </v>
      </c>
      <c r="L13" s="404" t="str">
        <f>IF(C13=0,"",Input!D$12)</f>
        <v/>
      </c>
      <c r="M13" s="405" t="str">
        <f t="shared" si="12"/>
        <v/>
      </c>
      <c r="N13" s="302" t="str">
        <f t="shared" si="13"/>
        <v/>
      </c>
      <c r="O13" s="302" t="str">
        <f t="shared" si="14"/>
        <v/>
      </c>
      <c r="P13" s="302" t="str">
        <f t="shared" si="15"/>
        <v/>
      </c>
      <c r="R13" s="1" t="s">
        <v>608</v>
      </c>
      <c r="S13" s="1" t="s">
        <v>663</v>
      </c>
      <c r="T13" s="1" t="s">
        <v>664</v>
      </c>
      <c r="U13" s="1" t="s">
        <v>180</v>
      </c>
      <c r="V13" s="12" t="str">
        <f t="shared" si="0"/>
        <v/>
      </c>
      <c r="W13" s="1" t="s">
        <v>137</v>
      </c>
      <c r="X13" s="12" t="str">
        <f t="shared" si="1"/>
        <v>30</v>
      </c>
      <c r="Y13" s="1" t="s">
        <v>665</v>
      </c>
      <c r="Z13" s="2" t="str">
        <f t="shared" si="2"/>
        <v/>
      </c>
      <c r="AA13" s="2" t="s">
        <v>557</v>
      </c>
      <c r="AB13" s="401" t="str">
        <f t="shared" si="3"/>
        <v/>
      </c>
      <c r="AC13" s="2" t="s">
        <v>554</v>
      </c>
      <c r="AD13" s="401" t="str">
        <f t="shared" si="4"/>
        <v/>
      </c>
      <c r="AE13" s="1" t="s">
        <v>666</v>
      </c>
      <c r="AF13" s="402" t="str">
        <f t="shared" si="5"/>
        <v xml:space="preserve"> </v>
      </c>
      <c r="AG13" s="2" t="s">
        <v>585</v>
      </c>
      <c r="AH13" s="402" t="str">
        <f t="shared" si="6"/>
        <v xml:space="preserve"> </v>
      </c>
      <c r="AI13" s="2" t="s">
        <v>586</v>
      </c>
      <c r="AJ13" s="402" t="str">
        <f t="shared" si="7"/>
        <v/>
      </c>
      <c r="AK13" s="1" t="s">
        <v>667</v>
      </c>
      <c r="AL13" s="1" t="str">
        <f t="shared" si="8"/>
        <v/>
      </c>
      <c r="AM13" s="1" t="s">
        <v>597</v>
      </c>
      <c r="AO13" s="1" t="str">
        <f t="shared" si="9"/>
        <v>((  AFC X  UA ) +  MC ) X ( 1  ÷ ( 1 + (  X 30 L X ((  AFC X  UA ) +  MC )) ÷ (   C X   N X  V ))) =  CLC</v>
      </c>
    </row>
    <row r="14" spans="3:41">
      <c r="C14" s="302">
        <f>Import!B17</f>
        <v>0</v>
      </c>
      <c r="D14" s="1" t="s">
        <v>84</v>
      </c>
      <c r="E14" s="302" t="str">
        <f>IF(C14=0,"",IF(Import!F17=1,2,1.732))</f>
        <v/>
      </c>
      <c r="F14" s="407" t="str">
        <f>IF(C14=0,"",Import!I17)</f>
        <v/>
      </c>
      <c r="G14" s="403" t="str">
        <f>IF(C14=0,"",IF(Input!D$33="MANUAL",Input!D$56,M$36))</f>
        <v/>
      </c>
      <c r="H14" s="404" t="str">
        <f t="shared" si="10"/>
        <v/>
      </c>
      <c r="I14" s="404" t="str">
        <f t="shared" si="11"/>
        <v/>
      </c>
      <c r="J14" s="404" t="str">
        <f>Import!H17</f>
        <v xml:space="preserve"> </v>
      </c>
      <c r="K14" s="404" t="str">
        <f>Import!P17</f>
        <v xml:space="preserve"> </v>
      </c>
      <c r="L14" s="404" t="str">
        <f>IF(C14=0,"",Input!D$12)</f>
        <v/>
      </c>
      <c r="M14" s="405" t="str">
        <f t="shared" si="12"/>
        <v/>
      </c>
      <c r="N14" s="302" t="str">
        <f t="shared" si="13"/>
        <v/>
      </c>
      <c r="O14" s="302" t="str">
        <f t="shared" si="14"/>
        <v/>
      </c>
      <c r="P14" s="302" t="str">
        <f t="shared" si="15"/>
        <v/>
      </c>
      <c r="R14" s="1" t="s">
        <v>608</v>
      </c>
      <c r="S14" s="1" t="s">
        <v>663</v>
      </c>
      <c r="T14" s="1" t="s">
        <v>664</v>
      </c>
      <c r="U14" s="1" t="s">
        <v>180</v>
      </c>
      <c r="V14" s="12" t="str">
        <f t="shared" si="0"/>
        <v/>
      </c>
      <c r="W14" s="1" t="s">
        <v>137</v>
      </c>
      <c r="X14" s="12" t="str">
        <f t="shared" si="1"/>
        <v>30</v>
      </c>
      <c r="Y14" s="1" t="s">
        <v>665</v>
      </c>
      <c r="Z14" s="2" t="str">
        <f t="shared" si="2"/>
        <v/>
      </c>
      <c r="AA14" s="2" t="s">
        <v>557</v>
      </c>
      <c r="AB14" s="401" t="str">
        <f t="shared" si="3"/>
        <v/>
      </c>
      <c r="AC14" s="2" t="s">
        <v>554</v>
      </c>
      <c r="AD14" s="401" t="str">
        <f t="shared" si="4"/>
        <v/>
      </c>
      <c r="AE14" s="1" t="s">
        <v>666</v>
      </c>
      <c r="AF14" s="402" t="str">
        <f t="shared" si="5"/>
        <v xml:space="preserve"> </v>
      </c>
      <c r="AG14" s="2" t="s">
        <v>585</v>
      </c>
      <c r="AH14" s="402" t="str">
        <f t="shared" si="6"/>
        <v xml:space="preserve"> </v>
      </c>
      <c r="AI14" s="2" t="s">
        <v>586</v>
      </c>
      <c r="AJ14" s="402" t="str">
        <f t="shared" si="7"/>
        <v/>
      </c>
      <c r="AK14" s="1" t="s">
        <v>667</v>
      </c>
      <c r="AL14" s="1" t="str">
        <f t="shared" si="8"/>
        <v/>
      </c>
      <c r="AM14" s="1" t="s">
        <v>597</v>
      </c>
      <c r="AO14" s="1" t="str">
        <f t="shared" si="9"/>
        <v>((  AFC X  UA ) +  MC ) X ( 1  ÷ ( 1 + (  X 30 L X ((  AFC X  UA ) +  MC )) ÷ (   C X   N X  V ))) =  CLC</v>
      </c>
    </row>
    <row r="15" spans="3:41">
      <c r="C15" s="302">
        <f>Import!B18</f>
        <v>0</v>
      </c>
      <c r="D15" s="1" t="s">
        <v>85</v>
      </c>
      <c r="E15" s="302" t="str">
        <f>IF(C15=0,"",IF(Import!F18=1,2,1.732))</f>
        <v/>
      </c>
      <c r="F15" s="407" t="str">
        <f>IF(C15=0,"",Import!I18)</f>
        <v/>
      </c>
      <c r="G15" s="403" t="str">
        <f>IF(C15=0,"",IF(Input!D$33="MANUAL",Input!D$56,M$36))</f>
        <v/>
      </c>
      <c r="H15" s="404" t="str">
        <f t="shared" si="10"/>
        <v/>
      </c>
      <c r="I15" s="404" t="str">
        <f t="shared" si="11"/>
        <v/>
      </c>
      <c r="J15" s="404" t="str">
        <f>Import!H18</f>
        <v xml:space="preserve"> </v>
      </c>
      <c r="K15" s="404" t="str">
        <f>Import!P18</f>
        <v xml:space="preserve"> </v>
      </c>
      <c r="L15" s="404" t="str">
        <f>IF(C15=0,"",Input!D$12)</f>
        <v/>
      </c>
      <c r="M15" s="405" t="str">
        <f t="shared" si="12"/>
        <v/>
      </c>
      <c r="N15" s="302" t="str">
        <f t="shared" si="13"/>
        <v/>
      </c>
      <c r="O15" s="302" t="str">
        <f t="shared" si="14"/>
        <v/>
      </c>
      <c r="P15" s="302" t="str">
        <f t="shared" si="15"/>
        <v/>
      </c>
      <c r="R15" s="1" t="s">
        <v>608</v>
      </c>
      <c r="S15" s="1" t="s">
        <v>663</v>
      </c>
      <c r="T15" s="1" t="s">
        <v>664</v>
      </c>
      <c r="U15" s="1" t="s">
        <v>180</v>
      </c>
      <c r="V15" s="12" t="str">
        <f t="shared" si="0"/>
        <v/>
      </c>
      <c r="W15" s="1" t="s">
        <v>137</v>
      </c>
      <c r="X15" s="12" t="str">
        <f t="shared" si="1"/>
        <v>30</v>
      </c>
      <c r="Y15" s="1" t="s">
        <v>665</v>
      </c>
      <c r="Z15" s="2" t="str">
        <f t="shared" si="2"/>
        <v/>
      </c>
      <c r="AA15" s="2" t="s">
        <v>557</v>
      </c>
      <c r="AB15" s="401" t="str">
        <f t="shared" si="3"/>
        <v/>
      </c>
      <c r="AC15" s="2" t="s">
        <v>554</v>
      </c>
      <c r="AD15" s="401" t="str">
        <f t="shared" si="4"/>
        <v/>
      </c>
      <c r="AE15" s="1" t="s">
        <v>666</v>
      </c>
      <c r="AF15" s="402" t="str">
        <f t="shared" si="5"/>
        <v xml:space="preserve"> </v>
      </c>
      <c r="AG15" s="2" t="s">
        <v>585</v>
      </c>
      <c r="AH15" s="402" t="str">
        <f t="shared" si="6"/>
        <v xml:space="preserve"> </v>
      </c>
      <c r="AI15" s="2" t="s">
        <v>586</v>
      </c>
      <c r="AJ15" s="402" t="str">
        <f t="shared" si="7"/>
        <v/>
      </c>
      <c r="AK15" s="1" t="s">
        <v>667</v>
      </c>
      <c r="AL15" s="1" t="str">
        <f t="shared" si="8"/>
        <v/>
      </c>
      <c r="AM15" s="1" t="s">
        <v>597</v>
      </c>
      <c r="AO15" s="1" t="str">
        <f t="shared" si="9"/>
        <v>((  AFC X  UA ) +  MC ) X ( 1  ÷ ( 1 + (  X 30 L X ((  AFC X  UA ) +  MC )) ÷ (   C X   N X  V ))) =  CLC</v>
      </c>
    </row>
    <row r="16" spans="3:41">
      <c r="C16" s="302">
        <f>Import!B19</f>
        <v>0</v>
      </c>
      <c r="D16" s="1" t="s">
        <v>86</v>
      </c>
      <c r="E16" s="302" t="str">
        <f>IF(C16=0,"",IF(Import!F19=1,2,1.732))</f>
        <v/>
      </c>
      <c r="F16" s="407" t="str">
        <f>IF(C16=0,"",Import!I19)</f>
        <v/>
      </c>
      <c r="G16" s="403" t="str">
        <f>IF(C16=0,"",IF(Input!D$33="MANUAL",Input!D$56,M$36))</f>
        <v/>
      </c>
      <c r="H16" s="404" t="str">
        <f t="shared" si="10"/>
        <v/>
      </c>
      <c r="I16" s="404" t="str">
        <f t="shared" si="11"/>
        <v/>
      </c>
      <c r="J16" s="404" t="str">
        <f>Import!H19</f>
        <v xml:space="preserve"> </v>
      </c>
      <c r="K16" s="404" t="str">
        <f>Import!P19</f>
        <v xml:space="preserve"> </v>
      </c>
      <c r="L16" s="404" t="str">
        <f>IF(C16=0,"",Input!D$12)</f>
        <v/>
      </c>
      <c r="M16" s="405" t="str">
        <f t="shared" si="12"/>
        <v/>
      </c>
      <c r="N16" s="302" t="str">
        <f t="shared" si="13"/>
        <v/>
      </c>
      <c r="O16" s="302" t="str">
        <f t="shared" si="14"/>
        <v/>
      </c>
      <c r="P16" s="302" t="str">
        <f t="shared" si="15"/>
        <v/>
      </c>
      <c r="R16" s="1" t="s">
        <v>608</v>
      </c>
      <c r="S16" s="1" t="s">
        <v>663</v>
      </c>
      <c r="T16" s="1" t="s">
        <v>664</v>
      </c>
      <c r="U16" s="1" t="s">
        <v>180</v>
      </c>
      <c r="V16" s="12" t="str">
        <f t="shared" si="0"/>
        <v/>
      </c>
      <c r="W16" s="1" t="s">
        <v>137</v>
      </c>
      <c r="X16" s="12" t="str">
        <f t="shared" si="1"/>
        <v>30</v>
      </c>
      <c r="Y16" s="1" t="s">
        <v>665</v>
      </c>
      <c r="Z16" s="2" t="str">
        <f t="shared" si="2"/>
        <v/>
      </c>
      <c r="AA16" s="2" t="s">
        <v>557</v>
      </c>
      <c r="AB16" s="401" t="str">
        <f t="shared" si="3"/>
        <v/>
      </c>
      <c r="AC16" s="2" t="s">
        <v>554</v>
      </c>
      <c r="AD16" s="401" t="str">
        <f t="shared" si="4"/>
        <v/>
      </c>
      <c r="AE16" s="1" t="s">
        <v>666</v>
      </c>
      <c r="AF16" s="402" t="str">
        <f t="shared" si="5"/>
        <v xml:space="preserve"> </v>
      </c>
      <c r="AG16" s="2" t="s">
        <v>585</v>
      </c>
      <c r="AH16" s="402" t="str">
        <f t="shared" si="6"/>
        <v xml:space="preserve"> </v>
      </c>
      <c r="AI16" s="2" t="s">
        <v>586</v>
      </c>
      <c r="AJ16" s="402" t="str">
        <f t="shared" si="7"/>
        <v/>
      </c>
      <c r="AK16" s="1" t="s">
        <v>667</v>
      </c>
      <c r="AL16" s="1" t="str">
        <f t="shared" si="8"/>
        <v/>
      </c>
      <c r="AM16" s="1" t="s">
        <v>597</v>
      </c>
      <c r="AO16" s="1" t="str">
        <f t="shared" si="9"/>
        <v>((  AFC X  UA ) +  MC ) X ( 1  ÷ ( 1 + (  X 30 L X ((  AFC X  UA ) +  MC )) ÷ (   C X   N X  V ))) =  CLC</v>
      </c>
    </row>
    <row r="17" spans="3:41">
      <c r="C17" s="302">
        <f>Import!B20</f>
        <v>0</v>
      </c>
      <c r="D17" s="1" t="s">
        <v>87</v>
      </c>
      <c r="E17" s="302" t="str">
        <f>IF(C17=0,"",IF(Import!F20=1,2,1.732))</f>
        <v/>
      </c>
      <c r="F17" s="407" t="str">
        <f>IF(C17=0,"",Import!I20)</f>
        <v/>
      </c>
      <c r="G17" s="403" t="str">
        <f>IF(C17=0,"",IF(Input!D$33="MANUAL",Input!D$56,M$36))</f>
        <v/>
      </c>
      <c r="H17" s="404" t="str">
        <f t="shared" si="10"/>
        <v/>
      </c>
      <c r="I17" s="404" t="str">
        <f t="shared" si="11"/>
        <v/>
      </c>
      <c r="J17" s="404" t="str">
        <f>Import!H20</f>
        <v xml:space="preserve"> </v>
      </c>
      <c r="K17" s="404" t="str">
        <f>Import!P20</f>
        <v xml:space="preserve"> </v>
      </c>
      <c r="L17" s="404" t="str">
        <f>IF(C17=0,"",Input!D$12)</f>
        <v/>
      </c>
      <c r="M17" s="405" t="str">
        <f t="shared" si="12"/>
        <v/>
      </c>
      <c r="N17" s="302" t="str">
        <f t="shared" si="13"/>
        <v/>
      </c>
      <c r="O17" s="302" t="str">
        <f t="shared" si="14"/>
        <v/>
      </c>
      <c r="P17" s="302" t="str">
        <f t="shared" si="15"/>
        <v/>
      </c>
      <c r="R17" s="1" t="s">
        <v>608</v>
      </c>
      <c r="S17" s="1" t="s">
        <v>663</v>
      </c>
      <c r="T17" s="1" t="s">
        <v>664</v>
      </c>
      <c r="U17" s="1" t="s">
        <v>180</v>
      </c>
      <c r="V17" s="12" t="str">
        <f t="shared" si="0"/>
        <v/>
      </c>
      <c r="W17" s="1" t="s">
        <v>137</v>
      </c>
      <c r="X17" s="12" t="str">
        <f t="shared" si="1"/>
        <v>30</v>
      </c>
      <c r="Y17" s="1" t="s">
        <v>665</v>
      </c>
      <c r="Z17" s="2" t="str">
        <f t="shared" si="2"/>
        <v/>
      </c>
      <c r="AA17" s="2" t="s">
        <v>557</v>
      </c>
      <c r="AB17" s="401" t="str">
        <f t="shared" si="3"/>
        <v/>
      </c>
      <c r="AC17" s="2" t="s">
        <v>554</v>
      </c>
      <c r="AD17" s="401" t="str">
        <f t="shared" si="4"/>
        <v/>
      </c>
      <c r="AE17" s="1" t="s">
        <v>666</v>
      </c>
      <c r="AF17" s="402" t="str">
        <f t="shared" si="5"/>
        <v xml:space="preserve"> </v>
      </c>
      <c r="AG17" s="2" t="s">
        <v>585</v>
      </c>
      <c r="AH17" s="402" t="str">
        <f t="shared" si="6"/>
        <v xml:space="preserve"> </v>
      </c>
      <c r="AI17" s="2" t="s">
        <v>586</v>
      </c>
      <c r="AJ17" s="402" t="str">
        <f t="shared" si="7"/>
        <v/>
      </c>
      <c r="AK17" s="1" t="s">
        <v>667</v>
      </c>
      <c r="AL17" s="1" t="str">
        <f t="shared" si="8"/>
        <v/>
      </c>
      <c r="AM17" s="1" t="s">
        <v>597</v>
      </c>
      <c r="AO17" s="1" t="str">
        <f t="shared" si="9"/>
        <v>((  AFC X  UA ) +  MC ) X ( 1  ÷ ( 1 + (  X 30 L X ((  AFC X  UA ) +  MC )) ÷ (   C X   N X  V ))) =  CLC</v>
      </c>
    </row>
    <row r="18" spans="3:41">
      <c r="C18" s="302">
        <f>Import!B21</f>
        <v>0</v>
      </c>
      <c r="D18" s="1" t="s">
        <v>88</v>
      </c>
      <c r="E18" s="302" t="str">
        <f>IF(C18=0,"",IF(Import!F21=1,2,1.732))</f>
        <v/>
      </c>
      <c r="F18" s="407" t="str">
        <f>IF(C18=0,"",Import!I21)</f>
        <v/>
      </c>
      <c r="G18" s="403" t="str">
        <f>IF(C18=0,"",IF(Input!D$33="MANUAL",Input!D$56,M$36))</f>
        <v/>
      </c>
      <c r="H18" s="404" t="str">
        <f t="shared" si="10"/>
        <v/>
      </c>
      <c r="I18" s="404" t="str">
        <f t="shared" si="11"/>
        <v/>
      </c>
      <c r="J18" s="404" t="str">
        <f>Import!H21</f>
        <v xml:space="preserve"> </v>
      </c>
      <c r="K18" s="404" t="str">
        <f>Import!P21</f>
        <v xml:space="preserve"> </v>
      </c>
      <c r="L18" s="404" t="str">
        <f>IF(C18=0,"",Input!D$12)</f>
        <v/>
      </c>
      <c r="M18" s="405" t="str">
        <f t="shared" si="12"/>
        <v/>
      </c>
      <c r="N18" s="302" t="str">
        <f t="shared" si="13"/>
        <v/>
      </c>
      <c r="O18" s="302" t="str">
        <f t="shared" si="14"/>
        <v/>
      </c>
      <c r="P18" s="302" t="str">
        <f t="shared" si="15"/>
        <v/>
      </c>
      <c r="R18" s="1" t="s">
        <v>608</v>
      </c>
      <c r="S18" s="1" t="s">
        <v>663</v>
      </c>
      <c r="T18" s="1" t="s">
        <v>664</v>
      </c>
      <c r="U18" s="1" t="s">
        <v>180</v>
      </c>
      <c r="V18" s="12" t="str">
        <f t="shared" si="0"/>
        <v/>
      </c>
      <c r="W18" s="1" t="s">
        <v>137</v>
      </c>
      <c r="X18" s="12" t="str">
        <f t="shared" si="1"/>
        <v>30</v>
      </c>
      <c r="Y18" s="1" t="s">
        <v>665</v>
      </c>
      <c r="Z18" s="2" t="str">
        <f t="shared" si="2"/>
        <v/>
      </c>
      <c r="AA18" s="2" t="s">
        <v>557</v>
      </c>
      <c r="AB18" s="401" t="str">
        <f t="shared" si="3"/>
        <v/>
      </c>
      <c r="AC18" s="2" t="s">
        <v>554</v>
      </c>
      <c r="AD18" s="401" t="str">
        <f t="shared" si="4"/>
        <v/>
      </c>
      <c r="AE18" s="1" t="s">
        <v>666</v>
      </c>
      <c r="AF18" s="402" t="str">
        <f t="shared" si="5"/>
        <v xml:space="preserve"> </v>
      </c>
      <c r="AG18" s="2" t="s">
        <v>585</v>
      </c>
      <c r="AH18" s="402" t="str">
        <f t="shared" si="6"/>
        <v xml:space="preserve"> </v>
      </c>
      <c r="AI18" s="2" t="s">
        <v>586</v>
      </c>
      <c r="AJ18" s="402" t="str">
        <f t="shared" si="7"/>
        <v/>
      </c>
      <c r="AK18" s="1" t="s">
        <v>667</v>
      </c>
      <c r="AL18" s="1" t="str">
        <f t="shared" si="8"/>
        <v/>
      </c>
      <c r="AM18" s="1" t="s">
        <v>597</v>
      </c>
      <c r="AO18" s="1" t="str">
        <f t="shared" si="9"/>
        <v>((  AFC X  UA ) +  MC ) X ( 1  ÷ ( 1 + (  X 30 L X ((  AFC X  UA ) +  MC )) ÷ (   C X   N X  V ))) =  CLC</v>
      </c>
    </row>
    <row r="19" spans="3:41">
      <c r="C19" s="302">
        <f>Import!B22</f>
        <v>0</v>
      </c>
      <c r="D19" s="1" t="s">
        <v>89</v>
      </c>
      <c r="E19" s="302" t="str">
        <f>IF(C19=0,"",IF(Import!F22=1,2,1.732))</f>
        <v/>
      </c>
      <c r="F19" s="407" t="str">
        <f>IF(C19=0,"",Import!I22)</f>
        <v/>
      </c>
      <c r="G19" s="403" t="str">
        <f>IF(C19=0,"",IF(Input!D$33="MANUAL",Input!D$56,M$36))</f>
        <v/>
      </c>
      <c r="H19" s="404" t="str">
        <f t="shared" si="10"/>
        <v/>
      </c>
      <c r="I19" s="404" t="str">
        <f t="shared" si="11"/>
        <v/>
      </c>
      <c r="J19" s="404" t="str">
        <f>Import!H22</f>
        <v xml:space="preserve"> </v>
      </c>
      <c r="K19" s="404" t="str">
        <f>Import!P22</f>
        <v xml:space="preserve"> </v>
      </c>
      <c r="L19" s="404" t="str">
        <f>IF(C19=0,"",Input!D$12)</f>
        <v/>
      </c>
      <c r="M19" s="405" t="str">
        <f t="shared" si="12"/>
        <v/>
      </c>
      <c r="N19" s="302" t="str">
        <f t="shared" si="13"/>
        <v/>
      </c>
      <c r="O19" s="302" t="str">
        <f t="shared" si="14"/>
        <v/>
      </c>
      <c r="P19" s="302" t="str">
        <f t="shared" si="15"/>
        <v/>
      </c>
      <c r="R19" s="1" t="s">
        <v>608</v>
      </c>
      <c r="S19" s="1" t="s">
        <v>663</v>
      </c>
      <c r="T19" s="1" t="s">
        <v>664</v>
      </c>
      <c r="U19" s="1" t="s">
        <v>180</v>
      </c>
      <c r="V19" s="12" t="str">
        <f t="shared" si="0"/>
        <v/>
      </c>
      <c r="W19" s="1" t="s">
        <v>137</v>
      </c>
      <c r="X19" s="12" t="str">
        <f t="shared" si="1"/>
        <v>30</v>
      </c>
      <c r="Y19" s="1" t="s">
        <v>665</v>
      </c>
      <c r="Z19" s="2" t="str">
        <f t="shared" si="2"/>
        <v/>
      </c>
      <c r="AA19" s="2" t="s">
        <v>557</v>
      </c>
      <c r="AB19" s="401" t="str">
        <f t="shared" si="3"/>
        <v/>
      </c>
      <c r="AC19" s="2" t="s">
        <v>554</v>
      </c>
      <c r="AD19" s="401" t="str">
        <f t="shared" si="4"/>
        <v/>
      </c>
      <c r="AE19" s="1" t="s">
        <v>666</v>
      </c>
      <c r="AF19" s="402" t="str">
        <f t="shared" si="5"/>
        <v xml:space="preserve"> </v>
      </c>
      <c r="AG19" s="2" t="s">
        <v>585</v>
      </c>
      <c r="AH19" s="402" t="str">
        <f t="shared" si="6"/>
        <v xml:space="preserve"> </v>
      </c>
      <c r="AI19" s="2" t="s">
        <v>586</v>
      </c>
      <c r="AJ19" s="402" t="str">
        <f t="shared" si="7"/>
        <v/>
      </c>
      <c r="AK19" s="1" t="s">
        <v>667</v>
      </c>
      <c r="AL19" s="1" t="str">
        <f t="shared" si="8"/>
        <v/>
      </c>
      <c r="AM19" s="1" t="s">
        <v>597</v>
      </c>
      <c r="AO19" s="1" t="str">
        <f t="shared" si="9"/>
        <v>((  AFC X  UA ) +  MC ) X ( 1  ÷ ( 1 + (  X 30 L X ((  AFC X  UA ) +  MC )) ÷ (   C X   N X  V ))) =  CLC</v>
      </c>
    </row>
    <row r="20" spans="3:41">
      <c r="C20" s="302">
        <f>Import!B23</f>
        <v>0</v>
      </c>
      <c r="D20" s="1" t="s">
        <v>90</v>
      </c>
      <c r="E20" s="302" t="str">
        <f>IF(C20=0,"",IF(Import!F23=1,2,1.732))</f>
        <v/>
      </c>
      <c r="F20" s="407" t="str">
        <f>IF(C20=0,"",Import!I23)</f>
        <v/>
      </c>
      <c r="G20" s="403" t="str">
        <f>IF(C20=0,"",IF(Input!D$33="MANUAL",Input!D$56,M$36))</f>
        <v/>
      </c>
      <c r="H20" s="404" t="str">
        <f t="shared" si="10"/>
        <v/>
      </c>
      <c r="I20" s="404" t="str">
        <f t="shared" si="11"/>
        <v/>
      </c>
      <c r="J20" s="404" t="str">
        <f>Import!H23</f>
        <v xml:space="preserve"> </v>
      </c>
      <c r="K20" s="404" t="str">
        <f>Import!P23</f>
        <v xml:space="preserve"> </v>
      </c>
      <c r="L20" s="404" t="str">
        <f>IF(C20=0,"",Input!D$12)</f>
        <v/>
      </c>
      <c r="M20" s="405" t="str">
        <f t="shared" si="12"/>
        <v/>
      </c>
      <c r="N20" s="302" t="str">
        <f t="shared" si="13"/>
        <v/>
      </c>
      <c r="O20" s="302" t="str">
        <f t="shared" si="14"/>
        <v/>
      </c>
      <c r="P20" s="302" t="str">
        <f t="shared" si="15"/>
        <v/>
      </c>
      <c r="R20" s="1" t="s">
        <v>608</v>
      </c>
      <c r="S20" s="1" t="s">
        <v>663</v>
      </c>
      <c r="T20" s="1" t="s">
        <v>664</v>
      </c>
      <c r="U20" s="1" t="s">
        <v>180</v>
      </c>
      <c r="V20" s="12" t="str">
        <f t="shared" si="0"/>
        <v/>
      </c>
      <c r="W20" s="1" t="s">
        <v>137</v>
      </c>
      <c r="X20" s="12" t="str">
        <f t="shared" si="1"/>
        <v>30</v>
      </c>
      <c r="Y20" s="1" t="s">
        <v>665</v>
      </c>
      <c r="Z20" s="2" t="str">
        <f t="shared" si="2"/>
        <v/>
      </c>
      <c r="AA20" s="2" t="s">
        <v>557</v>
      </c>
      <c r="AB20" s="401" t="str">
        <f t="shared" si="3"/>
        <v/>
      </c>
      <c r="AC20" s="2" t="s">
        <v>554</v>
      </c>
      <c r="AD20" s="401" t="str">
        <f t="shared" si="4"/>
        <v/>
      </c>
      <c r="AE20" s="1" t="s">
        <v>666</v>
      </c>
      <c r="AF20" s="402" t="str">
        <f t="shared" si="5"/>
        <v xml:space="preserve"> </v>
      </c>
      <c r="AG20" s="2" t="s">
        <v>585</v>
      </c>
      <c r="AH20" s="402" t="str">
        <f t="shared" si="6"/>
        <v xml:space="preserve"> </v>
      </c>
      <c r="AI20" s="2" t="s">
        <v>586</v>
      </c>
      <c r="AJ20" s="402" t="str">
        <f t="shared" si="7"/>
        <v/>
      </c>
      <c r="AK20" s="1" t="s">
        <v>667</v>
      </c>
      <c r="AL20" s="1" t="str">
        <f t="shared" si="8"/>
        <v/>
      </c>
      <c r="AM20" s="1" t="s">
        <v>597</v>
      </c>
      <c r="AO20" s="1" t="str">
        <f t="shared" si="9"/>
        <v>((  AFC X  UA ) +  MC ) X ( 1  ÷ ( 1 + (  X 30 L X ((  AFC X  UA ) +  MC )) ÷ (   C X   N X  V ))) =  CLC</v>
      </c>
    </row>
    <row r="21" spans="3:41">
      <c r="C21" s="302">
        <f>Import!B24</f>
        <v>0</v>
      </c>
      <c r="D21" s="1" t="s">
        <v>91</v>
      </c>
      <c r="E21" s="302" t="str">
        <f>IF(C21=0,"",IF(Import!F24=1,2,1.732))</f>
        <v/>
      </c>
      <c r="F21" s="407" t="str">
        <f>IF(C21=0,"",Import!I24)</f>
        <v/>
      </c>
      <c r="G21" s="403" t="str">
        <f>IF(C21=0,"",IF(Input!D$33="MANUAL",Input!D$56,M$36))</f>
        <v/>
      </c>
      <c r="H21" s="404" t="str">
        <f t="shared" si="10"/>
        <v/>
      </c>
      <c r="I21" s="404" t="str">
        <f t="shared" si="11"/>
        <v/>
      </c>
      <c r="J21" s="404" t="str">
        <f>Import!H24</f>
        <v xml:space="preserve"> </v>
      </c>
      <c r="K21" s="404" t="str">
        <f>Import!P24</f>
        <v xml:space="preserve"> </v>
      </c>
      <c r="L21" s="404" t="str">
        <f>IF(C21=0,"",Input!D$12)</f>
        <v/>
      </c>
      <c r="M21" s="405" t="str">
        <f t="shared" si="12"/>
        <v/>
      </c>
      <c r="N21" s="302" t="str">
        <f t="shared" si="13"/>
        <v/>
      </c>
      <c r="O21" s="302" t="str">
        <f t="shared" si="14"/>
        <v/>
      </c>
      <c r="P21" s="302" t="str">
        <f t="shared" si="15"/>
        <v/>
      </c>
      <c r="R21" s="1" t="s">
        <v>608</v>
      </c>
      <c r="S21" s="1" t="s">
        <v>663</v>
      </c>
      <c r="T21" s="1" t="s">
        <v>664</v>
      </c>
      <c r="U21" s="1" t="s">
        <v>180</v>
      </c>
      <c r="V21" s="12" t="str">
        <f t="shared" si="0"/>
        <v/>
      </c>
      <c r="W21" s="1" t="s">
        <v>137</v>
      </c>
      <c r="X21" s="12" t="str">
        <f t="shared" si="1"/>
        <v>30</v>
      </c>
      <c r="Y21" s="1" t="s">
        <v>665</v>
      </c>
      <c r="Z21" s="2" t="str">
        <f t="shared" si="2"/>
        <v/>
      </c>
      <c r="AA21" s="2" t="s">
        <v>557</v>
      </c>
      <c r="AB21" s="401" t="str">
        <f t="shared" si="3"/>
        <v/>
      </c>
      <c r="AC21" s="2" t="s">
        <v>554</v>
      </c>
      <c r="AD21" s="401" t="str">
        <f t="shared" si="4"/>
        <v/>
      </c>
      <c r="AE21" s="1" t="s">
        <v>666</v>
      </c>
      <c r="AF21" s="402" t="str">
        <f t="shared" si="5"/>
        <v xml:space="preserve"> </v>
      </c>
      <c r="AG21" s="2" t="s">
        <v>585</v>
      </c>
      <c r="AH21" s="402" t="str">
        <f t="shared" si="6"/>
        <v xml:space="preserve"> </v>
      </c>
      <c r="AI21" s="2" t="s">
        <v>586</v>
      </c>
      <c r="AJ21" s="402" t="str">
        <f t="shared" si="7"/>
        <v/>
      </c>
      <c r="AK21" s="1" t="s">
        <v>667</v>
      </c>
      <c r="AL21" s="1" t="str">
        <f t="shared" si="8"/>
        <v/>
      </c>
      <c r="AM21" s="1" t="s">
        <v>597</v>
      </c>
      <c r="AO21" s="1" t="str">
        <f t="shared" si="9"/>
        <v>((  AFC X  UA ) +  MC ) X ( 1  ÷ ( 1 + (  X 30 L X ((  AFC X  UA ) +  MC )) ÷ (   C X   N X  V ))) =  CLC</v>
      </c>
    </row>
    <row r="22" spans="3:41">
      <c r="C22" s="302">
        <f>Import!B25</f>
        <v>0</v>
      </c>
      <c r="D22" s="1" t="s">
        <v>92</v>
      </c>
      <c r="E22" s="302" t="str">
        <f>IF(C22=0,"",IF(Import!F25=1,2,1.732))</f>
        <v/>
      </c>
      <c r="F22" s="407" t="str">
        <f>IF(C22=0,"",Import!I25)</f>
        <v/>
      </c>
      <c r="G22" s="403" t="str">
        <f>IF(C22=0,"",IF(Input!D$33="MANUAL",Input!D$56,M$36))</f>
        <v/>
      </c>
      <c r="H22" s="404" t="str">
        <f t="shared" si="10"/>
        <v/>
      </c>
      <c r="I22" s="404" t="str">
        <f t="shared" si="11"/>
        <v/>
      </c>
      <c r="J22" s="404" t="str">
        <f>Import!H25</f>
        <v xml:space="preserve"> </v>
      </c>
      <c r="K22" s="404" t="str">
        <f>Import!P25</f>
        <v xml:space="preserve"> </v>
      </c>
      <c r="L22" s="404" t="str">
        <f>IF(C22=0,"",Input!D$12)</f>
        <v/>
      </c>
      <c r="M22" s="405" t="str">
        <f t="shared" si="12"/>
        <v/>
      </c>
      <c r="N22" s="302" t="str">
        <f t="shared" si="13"/>
        <v/>
      </c>
      <c r="O22" s="302" t="str">
        <f t="shared" si="14"/>
        <v/>
      </c>
      <c r="P22" s="302" t="str">
        <f t="shared" si="15"/>
        <v/>
      </c>
      <c r="R22" s="1" t="s">
        <v>608</v>
      </c>
      <c r="S22" s="1" t="s">
        <v>663</v>
      </c>
      <c r="T22" s="1" t="s">
        <v>664</v>
      </c>
      <c r="U22" s="1" t="s">
        <v>180</v>
      </c>
      <c r="V22" s="12" t="str">
        <f t="shared" si="0"/>
        <v/>
      </c>
      <c r="W22" s="1" t="s">
        <v>137</v>
      </c>
      <c r="X22" s="12" t="str">
        <f t="shared" si="1"/>
        <v>30</v>
      </c>
      <c r="Y22" s="1" t="s">
        <v>665</v>
      </c>
      <c r="Z22" s="2" t="str">
        <f t="shared" si="2"/>
        <v/>
      </c>
      <c r="AA22" s="2" t="s">
        <v>557</v>
      </c>
      <c r="AB22" s="401" t="str">
        <f t="shared" si="3"/>
        <v/>
      </c>
      <c r="AC22" s="2" t="s">
        <v>554</v>
      </c>
      <c r="AD22" s="401" t="str">
        <f t="shared" si="4"/>
        <v/>
      </c>
      <c r="AE22" s="1" t="s">
        <v>666</v>
      </c>
      <c r="AF22" s="402" t="str">
        <f t="shared" si="5"/>
        <v xml:space="preserve"> </v>
      </c>
      <c r="AG22" s="2" t="s">
        <v>585</v>
      </c>
      <c r="AH22" s="402" t="str">
        <f t="shared" si="6"/>
        <v xml:space="preserve"> </v>
      </c>
      <c r="AI22" s="2" t="s">
        <v>586</v>
      </c>
      <c r="AJ22" s="402" t="str">
        <f t="shared" si="7"/>
        <v/>
      </c>
      <c r="AK22" s="1" t="s">
        <v>667</v>
      </c>
      <c r="AL22" s="1" t="str">
        <f t="shared" si="8"/>
        <v/>
      </c>
      <c r="AM22" s="1" t="s">
        <v>597</v>
      </c>
      <c r="AO22" s="1" t="str">
        <f t="shared" si="9"/>
        <v>((  AFC X  UA ) +  MC ) X ( 1  ÷ ( 1 + (  X 30 L X ((  AFC X  UA ) +  MC )) ÷ (   C X   N X  V ))) =  CLC</v>
      </c>
    </row>
    <row r="23" spans="3:41">
      <c r="C23" s="302">
        <f>Import!B26</f>
        <v>0</v>
      </c>
      <c r="D23" s="1" t="s">
        <v>93</v>
      </c>
      <c r="E23" s="302" t="str">
        <f>IF(C23=0,"",IF(Import!F26=1,2,1.732))</f>
        <v/>
      </c>
      <c r="F23" s="407" t="str">
        <f>IF(C23=0,"",Import!I26)</f>
        <v/>
      </c>
      <c r="G23" s="403" t="str">
        <f>IF(C23=0,"",IF(Input!D$33="MANUAL",Input!D$56,M$36))</f>
        <v/>
      </c>
      <c r="H23" s="404" t="str">
        <f t="shared" si="10"/>
        <v/>
      </c>
      <c r="I23" s="404" t="str">
        <f t="shared" si="11"/>
        <v/>
      </c>
      <c r="J23" s="404" t="str">
        <f>Import!H26</f>
        <v xml:space="preserve"> </v>
      </c>
      <c r="K23" s="404" t="str">
        <f>Import!P26</f>
        <v xml:space="preserve"> </v>
      </c>
      <c r="L23" s="404" t="str">
        <f>IF(C23=0,"",Input!D$12)</f>
        <v/>
      </c>
      <c r="M23" s="405" t="str">
        <f t="shared" si="12"/>
        <v/>
      </c>
      <c r="N23" s="302" t="str">
        <f t="shared" si="13"/>
        <v/>
      </c>
      <c r="O23" s="302" t="str">
        <f t="shared" si="14"/>
        <v/>
      </c>
      <c r="P23" s="302" t="str">
        <f t="shared" si="15"/>
        <v/>
      </c>
      <c r="R23" s="1" t="s">
        <v>608</v>
      </c>
      <c r="S23" s="1" t="s">
        <v>663</v>
      </c>
      <c r="T23" s="1" t="s">
        <v>664</v>
      </c>
      <c r="U23" s="1" t="s">
        <v>180</v>
      </c>
      <c r="V23" s="12" t="str">
        <f t="shared" si="0"/>
        <v/>
      </c>
      <c r="W23" s="1" t="s">
        <v>137</v>
      </c>
      <c r="X23" s="12" t="str">
        <f t="shared" si="1"/>
        <v>30</v>
      </c>
      <c r="Y23" s="1" t="s">
        <v>665</v>
      </c>
      <c r="Z23" s="2" t="str">
        <f t="shared" si="2"/>
        <v/>
      </c>
      <c r="AA23" s="2" t="s">
        <v>557</v>
      </c>
      <c r="AB23" s="401" t="str">
        <f t="shared" si="3"/>
        <v/>
      </c>
      <c r="AC23" s="2" t="s">
        <v>554</v>
      </c>
      <c r="AD23" s="401" t="str">
        <f t="shared" si="4"/>
        <v/>
      </c>
      <c r="AE23" s="1" t="s">
        <v>666</v>
      </c>
      <c r="AF23" s="402" t="str">
        <f t="shared" si="5"/>
        <v xml:space="preserve"> </v>
      </c>
      <c r="AG23" s="2" t="s">
        <v>585</v>
      </c>
      <c r="AH23" s="402" t="str">
        <f t="shared" si="6"/>
        <v xml:space="preserve"> </v>
      </c>
      <c r="AI23" s="2" t="s">
        <v>586</v>
      </c>
      <c r="AJ23" s="402" t="str">
        <f t="shared" si="7"/>
        <v/>
      </c>
      <c r="AK23" s="1" t="s">
        <v>667</v>
      </c>
      <c r="AL23" s="1" t="str">
        <f t="shared" si="8"/>
        <v/>
      </c>
      <c r="AM23" s="1" t="s">
        <v>597</v>
      </c>
      <c r="AO23" s="1" t="str">
        <f t="shared" si="9"/>
        <v>((  AFC X  UA ) +  MC ) X ( 1  ÷ ( 1 + (  X 30 L X ((  AFC X  UA ) +  MC )) ÷ (   C X   N X  V ))) =  CLC</v>
      </c>
    </row>
    <row r="24" spans="3:41">
      <c r="C24" s="302">
        <f>Import!B27</f>
        <v>0</v>
      </c>
      <c r="D24" s="1" t="s">
        <v>94</v>
      </c>
      <c r="E24" s="302" t="str">
        <f>IF(C24=0,"",IF(Import!F27=1,2,1.732))</f>
        <v/>
      </c>
      <c r="F24" s="407" t="str">
        <f>IF(C24=0,"",Import!I27)</f>
        <v/>
      </c>
      <c r="G24" s="403" t="str">
        <f>IF(C24=0,"",IF(Input!D$33="MANUAL",Input!D$56,M$36))</f>
        <v/>
      </c>
      <c r="H24" s="404" t="str">
        <f t="shared" si="10"/>
        <v/>
      </c>
      <c r="I24" s="404" t="str">
        <f t="shared" si="11"/>
        <v/>
      </c>
      <c r="J24" s="404" t="str">
        <f>Import!H27</f>
        <v xml:space="preserve"> </v>
      </c>
      <c r="K24" s="404" t="str">
        <f>Import!P27</f>
        <v xml:space="preserve"> </v>
      </c>
      <c r="L24" s="404" t="str">
        <f>IF(C24=0,"",Input!D$12)</f>
        <v/>
      </c>
      <c r="M24" s="405" t="str">
        <f t="shared" si="12"/>
        <v/>
      </c>
      <c r="N24" s="302" t="str">
        <f t="shared" si="13"/>
        <v/>
      </c>
      <c r="O24" s="302" t="str">
        <f t="shared" si="14"/>
        <v/>
      </c>
      <c r="P24" s="302" t="str">
        <f t="shared" si="15"/>
        <v/>
      </c>
      <c r="R24" s="1" t="s">
        <v>608</v>
      </c>
      <c r="S24" s="1" t="s">
        <v>663</v>
      </c>
      <c r="T24" s="1" t="s">
        <v>664</v>
      </c>
      <c r="U24" s="1" t="s">
        <v>180</v>
      </c>
      <c r="V24" s="12" t="str">
        <f t="shared" si="0"/>
        <v/>
      </c>
      <c r="W24" s="1" t="s">
        <v>137</v>
      </c>
      <c r="X24" s="12" t="str">
        <f t="shared" si="1"/>
        <v>30</v>
      </c>
      <c r="Y24" s="1" t="s">
        <v>665</v>
      </c>
      <c r="Z24" s="2" t="str">
        <f t="shared" si="2"/>
        <v/>
      </c>
      <c r="AA24" s="2" t="s">
        <v>557</v>
      </c>
      <c r="AB24" s="401" t="str">
        <f t="shared" si="3"/>
        <v/>
      </c>
      <c r="AC24" s="2" t="s">
        <v>554</v>
      </c>
      <c r="AD24" s="401" t="str">
        <f t="shared" si="4"/>
        <v/>
      </c>
      <c r="AE24" s="1" t="s">
        <v>666</v>
      </c>
      <c r="AF24" s="402" t="str">
        <f t="shared" si="5"/>
        <v xml:space="preserve"> </v>
      </c>
      <c r="AG24" s="2" t="s">
        <v>585</v>
      </c>
      <c r="AH24" s="402" t="str">
        <f t="shared" si="6"/>
        <v xml:space="preserve"> </v>
      </c>
      <c r="AI24" s="2" t="s">
        <v>586</v>
      </c>
      <c r="AJ24" s="402" t="str">
        <f t="shared" si="7"/>
        <v/>
      </c>
      <c r="AK24" s="1" t="s">
        <v>667</v>
      </c>
      <c r="AL24" s="1" t="str">
        <f t="shared" si="8"/>
        <v/>
      </c>
      <c r="AM24" s="1" t="s">
        <v>597</v>
      </c>
      <c r="AO24" s="1" t="str">
        <f t="shared" si="9"/>
        <v>((  AFC X  UA ) +  MC ) X ( 1  ÷ ( 1 + (  X 30 L X ((  AFC X  UA ) +  MC )) ÷ (   C X   N X  V ))) =  CLC</v>
      </c>
    </row>
    <row r="25" spans="3:41">
      <c r="C25" s="302">
        <f>Import!B28</f>
        <v>0</v>
      </c>
      <c r="D25" s="1" t="s">
        <v>95</v>
      </c>
      <c r="E25" s="302" t="str">
        <f>IF(C25=0,"",IF(Import!F28=1,2,1.732))</f>
        <v/>
      </c>
      <c r="F25" s="407" t="str">
        <f>IF(C25=0,"",Import!I28)</f>
        <v/>
      </c>
      <c r="G25" s="403" t="str">
        <f>IF(C25=0,"",IF(Input!D$33="MANUAL",Input!D$56,M$36))</f>
        <v/>
      </c>
      <c r="H25" s="404" t="str">
        <f t="shared" si="10"/>
        <v/>
      </c>
      <c r="I25" s="404" t="str">
        <f t="shared" si="11"/>
        <v/>
      </c>
      <c r="J25" s="404" t="str">
        <f>Import!H28</f>
        <v xml:space="preserve"> </v>
      </c>
      <c r="K25" s="404" t="str">
        <f>Import!P28</f>
        <v xml:space="preserve"> </v>
      </c>
      <c r="L25" s="404" t="str">
        <f>IF(C25=0,"",Input!D$12)</f>
        <v/>
      </c>
      <c r="M25" s="405" t="str">
        <f t="shared" si="12"/>
        <v/>
      </c>
      <c r="N25" s="302" t="str">
        <f t="shared" si="13"/>
        <v/>
      </c>
      <c r="O25" s="302" t="str">
        <f t="shared" si="14"/>
        <v/>
      </c>
      <c r="P25" s="302" t="str">
        <f t="shared" si="15"/>
        <v/>
      </c>
      <c r="R25" s="1" t="s">
        <v>608</v>
      </c>
      <c r="S25" s="1" t="s">
        <v>663</v>
      </c>
      <c r="T25" s="1" t="s">
        <v>664</v>
      </c>
      <c r="U25" s="1" t="s">
        <v>180</v>
      </c>
      <c r="V25" s="12" t="str">
        <f t="shared" si="0"/>
        <v/>
      </c>
      <c r="W25" s="1" t="s">
        <v>137</v>
      </c>
      <c r="X25" s="12" t="str">
        <f t="shared" si="1"/>
        <v>30</v>
      </c>
      <c r="Y25" s="1" t="s">
        <v>665</v>
      </c>
      <c r="Z25" s="2" t="str">
        <f t="shared" si="2"/>
        <v/>
      </c>
      <c r="AA25" s="2" t="s">
        <v>557</v>
      </c>
      <c r="AB25" s="401" t="str">
        <f t="shared" si="3"/>
        <v/>
      </c>
      <c r="AC25" s="2" t="s">
        <v>554</v>
      </c>
      <c r="AD25" s="401" t="str">
        <f t="shared" si="4"/>
        <v/>
      </c>
      <c r="AE25" s="1" t="s">
        <v>666</v>
      </c>
      <c r="AF25" s="402" t="str">
        <f t="shared" si="5"/>
        <v xml:space="preserve"> </v>
      </c>
      <c r="AG25" s="2" t="s">
        <v>585</v>
      </c>
      <c r="AH25" s="402" t="str">
        <f t="shared" si="6"/>
        <v xml:space="preserve"> </v>
      </c>
      <c r="AI25" s="2" t="s">
        <v>586</v>
      </c>
      <c r="AJ25" s="402" t="str">
        <f t="shared" si="7"/>
        <v/>
      </c>
      <c r="AK25" s="1" t="s">
        <v>667</v>
      </c>
      <c r="AL25" s="1" t="str">
        <f t="shared" si="8"/>
        <v/>
      </c>
      <c r="AM25" s="1" t="s">
        <v>597</v>
      </c>
      <c r="AO25" s="1" t="str">
        <f t="shared" si="9"/>
        <v>((  AFC X  UA ) +  MC ) X ( 1  ÷ ( 1 + (  X 30 L X ((  AFC X  UA ) +  MC )) ÷ (   C X   N X  V ))) =  CLC</v>
      </c>
    </row>
    <row r="26" spans="3:41">
      <c r="C26" s="302">
        <f>Import!B29</f>
        <v>0</v>
      </c>
      <c r="D26" s="1" t="s">
        <v>96</v>
      </c>
      <c r="E26" s="302" t="str">
        <f>IF(C26=0,"",IF(Import!F29=1,2,1.732))</f>
        <v/>
      </c>
      <c r="F26" s="407" t="str">
        <f>IF(C26=0,"",Import!I29)</f>
        <v/>
      </c>
      <c r="G26" s="403" t="str">
        <f>IF(C26=0,"",IF(Input!D$33="MANUAL",Input!D$56,M$36))</f>
        <v/>
      </c>
      <c r="H26" s="404" t="str">
        <f t="shared" si="10"/>
        <v/>
      </c>
      <c r="I26" s="404" t="str">
        <f t="shared" si="11"/>
        <v/>
      </c>
      <c r="J26" s="404" t="str">
        <f>Import!H29</f>
        <v xml:space="preserve"> </v>
      </c>
      <c r="K26" s="404" t="str">
        <f>Import!P29</f>
        <v xml:space="preserve"> </v>
      </c>
      <c r="L26" s="404" t="str">
        <f>IF(C26=0,"",Input!D$12)</f>
        <v/>
      </c>
      <c r="M26" s="405" t="str">
        <f t="shared" si="12"/>
        <v/>
      </c>
      <c r="N26" s="302" t="str">
        <f t="shared" si="13"/>
        <v/>
      </c>
      <c r="O26" s="302" t="str">
        <f t="shared" si="14"/>
        <v/>
      </c>
      <c r="P26" s="302" t="str">
        <f t="shared" si="15"/>
        <v/>
      </c>
      <c r="R26" s="1" t="s">
        <v>608</v>
      </c>
      <c r="S26" s="1" t="s">
        <v>663</v>
      </c>
      <c r="T26" s="1" t="s">
        <v>664</v>
      </c>
      <c r="U26" s="1" t="s">
        <v>180</v>
      </c>
      <c r="V26" s="12" t="str">
        <f t="shared" si="0"/>
        <v/>
      </c>
      <c r="W26" s="1" t="s">
        <v>137</v>
      </c>
      <c r="X26" s="12" t="str">
        <f t="shared" si="1"/>
        <v>30</v>
      </c>
      <c r="Y26" s="1" t="s">
        <v>665</v>
      </c>
      <c r="Z26" s="2" t="str">
        <f t="shared" si="2"/>
        <v/>
      </c>
      <c r="AA26" s="2" t="s">
        <v>557</v>
      </c>
      <c r="AB26" s="401" t="str">
        <f t="shared" si="3"/>
        <v/>
      </c>
      <c r="AC26" s="2" t="s">
        <v>554</v>
      </c>
      <c r="AD26" s="401" t="str">
        <f t="shared" si="4"/>
        <v/>
      </c>
      <c r="AE26" s="1" t="s">
        <v>666</v>
      </c>
      <c r="AF26" s="402" t="str">
        <f t="shared" si="5"/>
        <v xml:space="preserve"> </v>
      </c>
      <c r="AG26" s="2" t="s">
        <v>585</v>
      </c>
      <c r="AH26" s="402" t="str">
        <f t="shared" si="6"/>
        <v xml:space="preserve"> </v>
      </c>
      <c r="AI26" s="2" t="s">
        <v>586</v>
      </c>
      <c r="AJ26" s="402" t="str">
        <f t="shared" si="7"/>
        <v/>
      </c>
      <c r="AK26" s="1" t="s">
        <v>667</v>
      </c>
      <c r="AL26" s="1" t="str">
        <f t="shared" si="8"/>
        <v/>
      </c>
      <c r="AM26" s="1" t="s">
        <v>597</v>
      </c>
      <c r="AO26" s="1" t="str">
        <f t="shared" si="9"/>
        <v>((  AFC X  UA ) +  MC ) X ( 1  ÷ ( 1 + (  X 30 L X ((  AFC X  UA ) +  MC )) ÷ (   C X   N X  V ))) =  CLC</v>
      </c>
    </row>
    <row r="27" spans="3:41">
      <c r="C27" s="302">
        <f>Import!B30</f>
        <v>0</v>
      </c>
      <c r="D27" s="1" t="s">
        <v>97</v>
      </c>
      <c r="E27" s="302" t="str">
        <f>IF(C27=0,"",IF(Import!F30=1,2,1.732))</f>
        <v/>
      </c>
      <c r="F27" s="407" t="str">
        <f>IF(C27=0,"",Import!I30)</f>
        <v/>
      </c>
      <c r="G27" s="403" t="str">
        <f>IF(C27=0,"",IF(Input!D$33="MANUAL",Input!D$56,M$36))</f>
        <v/>
      </c>
      <c r="H27" s="404" t="str">
        <f t="shared" si="10"/>
        <v/>
      </c>
      <c r="I27" s="404" t="str">
        <f t="shared" si="11"/>
        <v/>
      </c>
      <c r="J27" s="404" t="str">
        <f>Import!H30</f>
        <v xml:space="preserve"> </v>
      </c>
      <c r="K27" s="404" t="str">
        <f>Import!P30</f>
        <v xml:space="preserve"> </v>
      </c>
      <c r="L27" s="404" t="str">
        <f>IF(C27=0,"",Input!D$12)</f>
        <v/>
      </c>
      <c r="M27" s="405" t="str">
        <f t="shared" si="12"/>
        <v/>
      </c>
      <c r="N27" s="302" t="str">
        <f t="shared" si="13"/>
        <v/>
      </c>
      <c r="O27" s="302" t="str">
        <f t="shared" si="14"/>
        <v/>
      </c>
      <c r="P27" s="302" t="str">
        <f t="shared" si="15"/>
        <v/>
      </c>
      <c r="R27" s="1" t="s">
        <v>608</v>
      </c>
      <c r="S27" s="1" t="s">
        <v>663</v>
      </c>
      <c r="T27" s="1" t="s">
        <v>664</v>
      </c>
      <c r="U27" s="1" t="s">
        <v>180</v>
      </c>
      <c r="V27" s="12" t="str">
        <f t="shared" si="0"/>
        <v/>
      </c>
      <c r="W27" s="1" t="s">
        <v>137</v>
      </c>
      <c r="X27" s="12" t="str">
        <f t="shared" si="1"/>
        <v>30</v>
      </c>
      <c r="Y27" s="1" t="s">
        <v>665</v>
      </c>
      <c r="Z27" s="2" t="str">
        <f t="shared" si="2"/>
        <v/>
      </c>
      <c r="AA27" s="2" t="s">
        <v>557</v>
      </c>
      <c r="AB27" s="401" t="str">
        <f t="shared" si="3"/>
        <v/>
      </c>
      <c r="AC27" s="2" t="s">
        <v>554</v>
      </c>
      <c r="AD27" s="401" t="str">
        <f t="shared" si="4"/>
        <v/>
      </c>
      <c r="AE27" s="1" t="s">
        <v>666</v>
      </c>
      <c r="AF27" s="402" t="str">
        <f t="shared" si="5"/>
        <v xml:space="preserve"> </v>
      </c>
      <c r="AG27" s="2" t="s">
        <v>585</v>
      </c>
      <c r="AH27" s="402" t="str">
        <f t="shared" si="6"/>
        <v xml:space="preserve"> </v>
      </c>
      <c r="AI27" s="2" t="s">
        <v>586</v>
      </c>
      <c r="AJ27" s="402" t="str">
        <f t="shared" si="7"/>
        <v/>
      </c>
      <c r="AK27" s="1" t="s">
        <v>667</v>
      </c>
      <c r="AL27" s="1" t="str">
        <f t="shared" si="8"/>
        <v/>
      </c>
      <c r="AM27" s="1" t="s">
        <v>597</v>
      </c>
      <c r="AO27" s="1" t="str">
        <f t="shared" si="9"/>
        <v>((  AFC X  UA ) +  MC ) X ( 1  ÷ ( 1 + (  X 30 L X ((  AFC X  UA ) +  MC )) ÷ (   C X   N X  V ))) =  CLC</v>
      </c>
    </row>
    <row r="28" spans="3:41">
      <c r="C28" s="302">
        <f>Import!B31</f>
        <v>0</v>
      </c>
      <c r="D28" s="1" t="s">
        <v>98</v>
      </c>
      <c r="E28" s="302" t="str">
        <f>IF(C28=0,"",IF(Import!F31=1,2,1.732))</f>
        <v/>
      </c>
      <c r="F28" s="407" t="str">
        <f>IF(C28=0,"",Import!I31)</f>
        <v/>
      </c>
      <c r="G28" s="403" t="str">
        <f>IF(C28=0,"",IF(Input!D$33="MANUAL",Input!D$56,M$36))</f>
        <v/>
      </c>
      <c r="H28" s="404" t="str">
        <f t="shared" si="10"/>
        <v/>
      </c>
      <c r="I28" s="404" t="str">
        <f t="shared" si="11"/>
        <v/>
      </c>
      <c r="J28" s="404" t="str">
        <f>Import!H31</f>
        <v xml:space="preserve"> </v>
      </c>
      <c r="K28" s="404" t="str">
        <f>Import!P31</f>
        <v xml:space="preserve"> </v>
      </c>
      <c r="L28" s="404" t="str">
        <f>IF(C28=0,"",Input!D$12)</f>
        <v/>
      </c>
      <c r="M28" s="405" t="str">
        <f t="shared" si="12"/>
        <v/>
      </c>
      <c r="N28" s="302" t="str">
        <f t="shared" si="13"/>
        <v/>
      </c>
      <c r="O28" s="302" t="str">
        <f t="shared" si="14"/>
        <v/>
      </c>
      <c r="P28" s="302" t="str">
        <f t="shared" si="15"/>
        <v/>
      </c>
      <c r="R28" s="1" t="s">
        <v>608</v>
      </c>
      <c r="S28" s="1" t="s">
        <v>663</v>
      </c>
      <c r="T28" s="1" t="s">
        <v>664</v>
      </c>
      <c r="U28" s="1" t="s">
        <v>180</v>
      </c>
      <c r="V28" s="12" t="str">
        <f t="shared" si="0"/>
        <v/>
      </c>
      <c r="W28" s="1" t="s">
        <v>137</v>
      </c>
      <c r="X28" s="12" t="str">
        <f t="shared" si="1"/>
        <v>30</v>
      </c>
      <c r="Y28" s="1" t="s">
        <v>665</v>
      </c>
      <c r="Z28" s="2" t="str">
        <f t="shared" si="2"/>
        <v/>
      </c>
      <c r="AA28" s="2" t="s">
        <v>557</v>
      </c>
      <c r="AB28" s="401" t="str">
        <f t="shared" si="3"/>
        <v/>
      </c>
      <c r="AC28" s="2" t="s">
        <v>554</v>
      </c>
      <c r="AD28" s="401" t="str">
        <f t="shared" si="4"/>
        <v/>
      </c>
      <c r="AE28" s="1" t="s">
        <v>666</v>
      </c>
      <c r="AF28" s="402" t="str">
        <f t="shared" si="5"/>
        <v xml:space="preserve"> </v>
      </c>
      <c r="AG28" s="2" t="s">
        <v>585</v>
      </c>
      <c r="AH28" s="402" t="str">
        <f t="shared" si="6"/>
        <v xml:space="preserve"> </v>
      </c>
      <c r="AI28" s="2" t="s">
        <v>586</v>
      </c>
      <c r="AJ28" s="402" t="str">
        <f t="shared" si="7"/>
        <v/>
      </c>
      <c r="AK28" s="1" t="s">
        <v>667</v>
      </c>
      <c r="AL28" s="1" t="str">
        <f t="shared" si="8"/>
        <v/>
      </c>
      <c r="AM28" s="1" t="s">
        <v>597</v>
      </c>
      <c r="AO28" s="1" t="str">
        <f t="shared" si="9"/>
        <v>((  AFC X  UA ) +  MC ) X ( 1  ÷ ( 1 + (  X 30 L X ((  AFC X  UA ) +  MC )) ÷ (   C X   N X  V ))) =  CLC</v>
      </c>
    </row>
    <row r="29" spans="3:41">
      <c r="C29" s="302">
        <f>Import!B32</f>
        <v>0</v>
      </c>
      <c r="D29" s="1" t="s">
        <v>99</v>
      </c>
      <c r="E29" s="302" t="str">
        <f>IF(C29=0,"",IF(Import!F32=1,2,1.732))</f>
        <v/>
      </c>
      <c r="F29" s="407" t="str">
        <f>IF(C29=0,"",Import!I32)</f>
        <v/>
      </c>
      <c r="G29" s="403" t="str">
        <f>IF(C29=0,"",IF(Input!D$33="MANUAL",Input!D$56,M$36))</f>
        <v/>
      </c>
      <c r="H29" s="404" t="str">
        <f t="shared" si="10"/>
        <v/>
      </c>
      <c r="I29" s="404" t="str">
        <f t="shared" si="11"/>
        <v/>
      </c>
      <c r="J29" s="404" t="str">
        <f>Import!H32</f>
        <v xml:space="preserve"> </v>
      </c>
      <c r="K29" s="404" t="str">
        <f>Import!P32</f>
        <v xml:space="preserve"> </v>
      </c>
      <c r="L29" s="404" t="str">
        <f>IF(C29=0,"",Input!D$12)</f>
        <v/>
      </c>
      <c r="M29" s="405" t="str">
        <f t="shared" si="12"/>
        <v/>
      </c>
      <c r="N29" s="302" t="str">
        <f t="shared" si="13"/>
        <v/>
      </c>
      <c r="O29" s="302" t="str">
        <f t="shared" si="14"/>
        <v/>
      </c>
      <c r="P29" s="302" t="str">
        <f t="shared" si="15"/>
        <v/>
      </c>
      <c r="R29" s="1" t="s">
        <v>608</v>
      </c>
      <c r="S29" s="1" t="s">
        <v>663</v>
      </c>
      <c r="T29" s="1" t="s">
        <v>664</v>
      </c>
      <c r="U29" s="1" t="s">
        <v>180</v>
      </c>
      <c r="V29" s="12" t="str">
        <f t="shared" si="0"/>
        <v/>
      </c>
      <c r="W29" s="1" t="s">
        <v>137</v>
      </c>
      <c r="X29" s="12" t="str">
        <f t="shared" si="1"/>
        <v>30</v>
      </c>
      <c r="Y29" s="1" t="s">
        <v>665</v>
      </c>
      <c r="Z29" s="2" t="str">
        <f t="shared" si="2"/>
        <v/>
      </c>
      <c r="AA29" s="2" t="s">
        <v>557</v>
      </c>
      <c r="AB29" s="401" t="str">
        <f t="shared" si="3"/>
        <v/>
      </c>
      <c r="AC29" s="2" t="s">
        <v>554</v>
      </c>
      <c r="AD29" s="401" t="str">
        <f t="shared" si="4"/>
        <v/>
      </c>
      <c r="AE29" s="1" t="s">
        <v>666</v>
      </c>
      <c r="AF29" s="402" t="str">
        <f t="shared" si="5"/>
        <v xml:space="preserve"> </v>
      </c>
      <c r="AG29" s="2" t="s">
        <v>585</v>
      </c>
      <c r="AH29" s="402" t="str">
        <f t="shared" si="6"/>
        <v xml:space="preserve"> </v>
      </c>
      <c r="AI29" s="2" t="s">
        <v>586</v>
      </c>
      <c r="AJ29" s="402" t="str">
        <f t="shared" si="7"/>
        <v/>
      </c>
      <c r="AK29" s="1" t="s">
        <v>667</v>
      </c>
      <c r="AL29" s="1" t="str">
        <f t="shared" si="8"/>
        <v/>
      </c>
      <c r="AM29" s="1" t="s">
        <v>597</v>
      </c>
      <c r="AO29" s="1" t="str">
        <f t="shared" si="9"/>
        <v>((  AFC X  UA ) +  MC ) X ( 1  ÷ ( 1 + (  X 30 L X ((  AFC X  UA ) +  MC )) ÷ (   C X   N X  V ))) =  CLC</v>
      </c>
    </row>
    <row r="30" spans="3:41">
      <c r="C30" s="302">
        <f>Import!B33</f>
        <v>0</v>
      </c>
      <c r="D30" s="1" t="s">
        <v>100</v>
      </c>
      <c r="E30" s="302" t="str">
        <f>IF(C30=0,"",IF(Import!F33=1,2,1.732))</f>
        <v/>
      </c>
      <c r="F30" s="407" t="str">
        <f>IF(C30=0,"",Import!I33)</f>
        <v/>
      </c>
      <c r="G30" s="403" t="str">
        <f>IF(C30=0,"",IF(Input!D$33="MANUAL",Input!D$56,M$36))</f>
        <v/>
      </c>
      <c r="H30" s="404" t="str">
        <f t="shared" si="10"/>
        <v/>
      </c>
      <c r="I30" s="404" t="str">
        <f t="shared" si="11"/>
        <v/>
      </c>
      <c r="J30" s="404" t="str">
        <f>Import!H33</f>
        <v xml:space="preserve"> </v>
      </c>
      <c r="K30" s="404" t="str">
        <f>Import!P33</f>
        <v xml:space="preserve"> </v>
      </c>
      <c r="L30" s="404" t="str">
        <f>IF(C30=0,"",Input!D$12)</f>
        <v/>
      </c>
      <c r="M30" s="405" t="str">
        <f t="shared" si="12"/>
        <v/>
      </c>
      <c r="N30" s="302" t="str">
        <f t="shared" si="13"/>
        <v/>
      </c>
      <c r="O30" s="302" t="str">
        <f t="shared" si="14"/>
        <v/>
      </c>
      <c r="P30" s="302" t="str">
        <f t="shared" si="15"/>
        <v/>
      </c>
      <c r="R30" s="1" t="s">
        <v>608</v>
      </c>
      <c r="S30" s="1" t="s">
        <v>663</v>
      </c>
      <c r="T30" s="1" t="s">
        <v>664</v>
      </c>
      <c r="U30" s="1" t="s">
        <v>180</v>
      </c>
      <c r="V30" s="12" t="str">
        <f t="shared" si="0"/>
        <v/>
      </c>
      <c r="W30" s="1" t="s">
        <v>137</v>
      </c>
      <c r="X30" s="12" t="str">
        <f t="shared" si="1"/>
        <v>30</v>
      </c>
      <c r="Y30" s="1" t="s">
        <v>665</v>
      </c>
      <c r="Z30" s="2" t="str">
        <f t="shared" si="2"/>
        <v/>
      </c>
      <c r="AA30" s="2" t="s">
        <v>557</v>
      </c>
      <c r="AB30" s="401" t="str">
        <f t="shared" si="3"/>
        <v/>
      </c>
      <c r="AC30" s="2" t="s">
        <v>554</v>
      </c>
      <c r="AD30" s="401" t="str">
        <f t="shared" si="4"/>
        <v/>
      </c>
      <c r="AE30" s="1" t="s">
        <v>666</v>
      </c>
      <c r="AF30" s="402" t="str">
        <f t="shared" si="5"/>
        <v xml:space="preserve"> </v>
      </c>
      <c r="AG30" s="2" t="s">
        <v>585</v>
      </c>
      <c r="AH30" s="402" t="str">
        <f t="shared" si="6"/>
        <v xml:space="preserve"> </v>
      </c>
      <c r="AI30" s="2" t="s">
        <v>586</v>
      </c>
      <c r="AJ30" s="402" t="str">
        <f t="shared" si="7"/>
        <v/>
      </c>
      <c r="AK30" s="1" t="s">
        <v>667</v>
      </c>
      <c r="AL30" s="1" t="str">
        <f t="shared" si="8"/>
        <v/>
      </c>
      <c r="AM30" s="1" t="s">
        <v>597</v>
      </c>
      <c r="AO30" s="1" t="str">
        <f t="shared" si="9"/>
        <v>((  AFC X  UA ) +  MC ) X ( 1  ÷ ( 1 + (  X 30 L X ((  AFC X  UA ) +  MC )) ÷ (   C X   N X  V ))) =  CLC</v>
      </c>
    </row>
    <row r="31" spans="3:41">
      <c r="C31" s="302">
        <f>Import!B34</f>
        <v>0</v>
      </c>
      <c r="D31" s="1" t="s">
        <v>101</v>
      </c>
      <c r="E31" s="302" t="str">
        <f>IF(C31=0,"",IF(Import!F34=1,2,1.732))</f>
        <v/>
      </c>
      <c r="F31" s="407" t="str">
        <f>IF(C31=0,"",Import!I34)</f>
        <v/>
      </c>
      <c r="G31" s="403" t="str">
        <f>IF(C31=0,"",IF(Input!D$33="MANUAL",Input!D$56,M$36))</f>
        <v/>
      </c>
      <c r="H31" s="404" t="str">
        <f t="shared" si="10"/>
        <v/>
      </c>
      <c r="I31" s="404" t="str">
        <f t="shared" si="11"/>
        <v/>
      </c>
      <c r="J31" s="404" t="str">
        <f>Import!H34</f>
        <v xml:space="preserve"> </v>
      </c>
      <c r="K31" s="404" t="str">
        <f>Import!P34</f>
        <v xml:space="preserve"> </v>
      </c>
      <c r="L31" s="404" t="str">
        <f>IF(C31=0,"",Input!D$12)</f>
        <v/>
      </c>
      <c r="M31" s="405" t="str">
        <f t="shared" si="12"/>
        <v/>
      </c>
      <c r="N31" s="302" t="str">
        <f t="shared" si="13"/>
        <v/>
      </c>
      <c r="O31" s="302" t="str">
        <f t="shared" si="14"/>
        <v/>
      </c>
      <c r="P31" s="302" t="str">
        <f t="shared" si="15"/>
        <v/>
      </c>
      <c r="R31" s="1" t="s">
        <v>608</v>
      </c>
      <c r="S31" s="1" t="s">
        <v>663</v>
      </c>
      <c r="T31" s="1" t="s">
        <v>664</v>
      </c>
      <c r="U31" s="1" t="s">
        <v>180</v>
      </c>
      <c r="V31" s="12" t="str">
        <f t="shared" si="0"/>
        <v/>
      </c>
      <c r="W31" s="1" t="s">
        <v>137</v>
      </c>
      <c r="X31" s="12" t="str">
        <f t="shared" si="1"/>
        <v>30</v>
      </c>
      <c r="Y31" s="1" t="s">
        <v>665</v>
      </c>
      <c r="Z31" s="2" t="str">
        <f t="shared" si="2"/>
        <v/>
      </c>
      <c r="AA31" s="2" t="s">
        <v>557</v>
      </c>
      <c r="AB31" s="401" t="str">
        <f t="shared" si="3"/>
        <v/>
      </c>
      <c r="AC31" s="2" t="s">
        <v>554</v>
      </c>
      <c r="AD31" s="401" t="str">
        <f t="shared" si="4"/>
        <v/>
      </c>
      <c r="AE31" s="1" t="s">
        <v>666</v>
      </c>
      <c r="AF31" s="402" t="str">
        <f t="shared" si="5"/>
        <v xml:space="preserve"> </v>
      </c>
      <c r="AG31" s="2" t="s">
        <v>585</v>
      </c>
      <c r="AH31" s="402" t="str">
        <f t="shared" si="6"/>
        <v xml:space="preserve"> </v>
      </c>
      <c r="AI31" s="2" t="s">
        <v>586</v>
      </c>
      <c r="AJ31" s="402" t="str">
        <f t="shared" si="7"/>
        <v/>
      </c>
      <c r="AK31" s="1" t="s">
        <v>667</v>
      </c>
      <c r="AL31" s="1" t="str">
        <f t="shared" si="8"/>
        <v/>
      </c>
      <c r="AM31" s="1" t="s">
        <v>597</v>
      </c>
      <c r="AO31" s="1" t="str">
        <f t="shared" si="9"/>
        <v>((  AFC X  UA ) +  MC ) X ( 1  ÷ ( 1 + (  X 30 L X ((  AFC X  UA ) +  MC )) ÷ (   C X   N X  V ))) =  CLC</v>
      </c>
    </row>
    <row r="32" spans="3:41">
      <c r="C32" s="302">
        <f>Import!B35</f>
        <v>0</v>
      </c>
      <c r="D32" s="1" t="s">
        <v>102</v>
      </c>
      <c r="E32" s="302" t="str">
        <f>IF(C32=0,"",IF(Import!F35=1,2,1.732))</f>
        <v/>
      </c>
      <c r="F32" s="407" t="str">
        <f>IF(C32=0,"",Import!I35)</f>
        <v/>
      </c>
      <c r="G32" s="403" t="str">
        <f>IF(C32=0,"",IF(Input!D$33="MANUAL",Input!D$56,M$36))</f>
        <v/>
      </c>
      <c r="H32" s="404" t="str">
        <f t="shared" si="10"/>
        <v/>
      </c>
      <c r="I32" s="404" t="str">
        <f t="shared" si="11"/>
        <v/>
      </c>
      <c r="J32" s="404" t="str">
        <f>Import!H35</f>
        <v xml:space="preserve"> </v>
      </c>
      <c r="K32" s="404" t="str">
        <f>Import!P35</f>
        <v xml:space="preserve"> </v>
      </c>
      <c r="L32" s="404" t="str">
        <f>IF(C32=0,"",Input!D$12)</f>
        <v/>
      </c>
      <c r="M32" s="405" t="str">
        <f t="shared" si="12"/>
        <v/>
      </c>
      <c r="N32" s="302" t="str">
        <f t="shared" si="13"/>
        <v/>
      </c>
      <c r="O32" s="302" t="str">
        <f t="shared" si="14"/>
        <v/>
      </c>
      <c r="P32" s="302" t="str">
        <f t="shared" si="15"/>
        <v/>
      </c>
      <c r="R32" s="1" t="s">
        <v>608</v>
      </c>
      <c r="S32" s="1" t="s">
        <v>663</v>
      </c>
      <c r="T32" s="1" t="s">
        <v>664</v>
      </c>
      <c r="U32" s="1" t="s">
        <v>180</v>
      </c>
      <c r="V32" s="12" t="str">
        <f t="shared" si="0"/>
        <v/>
      </c>
      <c r="W32" s="1" t="s">
        <v>137</v>
      </c>
      <c r="X32" s="12" t="str">
        <f t="shared" si="1"/>
        <v>30</v>
      </c>
      <c r="Y32" s="1" t="s">
        <v>665</v>
      </c>
      <c r="Z32" s="2" t="str">
        <f t="shared" si="2"/>
        <v/>
      </c>
      <c r="AA32" s="2" t="s">
        <v>557</v>
      </c>
      <c r="AB32" s="401" t="str">
        <f t="shared" si="3"/>
        <v/>
      </c>
      <c r="AC32" s="2" t="s">
        <v>554</v>
      </c>
      <c r="AD32" s="401" t="str">
        <f t="shared" si="4"/>
        <v/>
      </c>
      <c r="AE32" s="1" t="s">
        <v>666</v>
      </c>
      <c r="AF32" s="402" t="str">
        <f t="shared" si="5"/>
        <v xml:space="preserve"> </v>
      </c>
      <c r="AG32" s="2" t="s">
        <v>585</v>
      </c>
      <c r="AH32" s="402" t="str">
        <f t="shared" si="6"/>
        <v xml:space="preserve"> </v>
      </c>
      <c r="AI32" s="2" t="s">
        <v>586</v>
      </c>
      <c r="AJ32" s="402" t="str">
        <f t="shared" si="7"/>
        <v/>
      </c>
      <c r="AK32" s="1" t="s">
        <v>667</v>
      </c>
      <c r="AL32" s="1" t="str">
        <f t="shared" si="8"/>
        <v/>
      </c>
      <c r="AM32" s="1" t="s">
        <v>597</v>
      </c>
      <c r="AO32" s="1" t="str">
        <f t="shared" si="9"/>
        <v>((  AFC X  UA ) +  MC ) X ( 1  ÷ ( 1 + (  X 30 L X ((  AFC X  UA ) +  MC )) ÷ (   C X   N X  V ))) =  CLC</v>
      </c>
    </row>
    <row r="33" spans="3:41">
      <c r="C33" s="302">
        <f>Import!B36</f>
        <v>0</v>
      </c>
      <c r="D33" s="1" t="s">
        <v>103</v>
      </c>
      <c r="E33" s="302" t="str">
        <f>IF(C33=0,"",IF(Import!F36=1,2,1.732))</f>
        <v/>
      </c>
      <c r="F33" s="407" t="str">
        <f>IF(C33=0,"",Import!I36)</f>
        <v/>
      </c>
      <c r="G33" s="403" t="str">
        <f>IF(C33=0,"",IF(Input!D$33="MANUAL",Input!D$56,M$36))</f>
        <v/>
      </c>
      <c r="H33" s="404" t="str">
        <f t="shared" si="10"/>
        <v/>
      </c>
      <c r="I33" s="404" t="str">
        <f t="shared" si="11"/>
        <v/>
      </c>
      <c r="J33" s="404" t="str">
        <f>Import!H36</f>
        <v xml:space="preserve"> </v>
      </c>
      <c r="K33" s="404" t="str">
        <f>Import!P36</f>
        <v xml:space="preserve"> </v>
      </c>
      <c r="L33" s="404" t="str">
        <f>IF(C33=0,"",Input!D$12)</f>
        <v/>
      </c>
      <c r="M33" s="405" t="str">
        <f t="shared" si="12"/>
        <v/>
      </c>
      <c r="N33" s="302" t="str">
        <f t="shared" si="13"/>
        <v/>
      </c>
      <c r="O33" s="302" t="str">
        <f t="shared" si="14"/>
        <v/>
      </c>
      <c r="P33" s="302" t="str">
        <f t="shared" si="15"/>
        <v/>
      </c>
      <c r="R33" s="1" t="s">
        <v>608</v>
      </c>
      <c r="S33" s="1" t="s">
        <v>663</v>
      </c>
      <c r="T33" s="1" t="s">
        <v>664</v>
      </c>
      <c r="U33" s="1" t="s">
        <v>180</v>
      </c>
      <c r="V33" s="12" t="str">
        <f t="shared" si="0"/>
        <v/>
      </c>
      <c r="W33" s="1" t="s">
        <v>137</v>
      </c>
      <c r="X33" s="12" t="str">
        <f t="shared" si="1"/>
        <v>30</v>
      </c>
      <c r="Y33" s="1" t="s">
        <v>665</v>
      </c>
      <c r="Z33" s="2" t="str">
        <f t="shared" si="2"/>
        <v/>
      </c>
      <c r="AA33" s="2" t="s">
        <v>557</v>
      </c>
      <c r="AB33" s="401" t="str">
        <f t="shared" si="3"/>
        <v/>
      </c>
      <c r="AC33" s="2" t="s">
        <v>554</v>
      </c>
      <c r="AD33" s="401" t="str">
        <f t="shared" si="4"/>
        <v/>
      </c>
      <c r="AE33" s="1" t="s">
        <v>666</v>
      </c>
      <c r="AF33" s="402" t="str">
        <f t="shared" si="5"/>
        <v xml:space="preserve"> </v>
      </c>
      <c r="AG33" s="2" t="s">
        <v>585</v>
      </c>
      <c r="AH33" s="402" t="str">
        <f t="shared" si="6"/>
        <v xml:space="preserve"> </v>
      </c>
      <c r="AI33" s="2" t="s">
        <v>586</v>
      </c>
      <c r="AJ33" s="402" t="str">
        <f t="shared" si="7"/>
        <v/>
      </c>
      <c r="AK33" s="1" t="s">
        <v>667</v>
      </c>
      <c r="AL33" s="1" t="str">
        <f t="shared" si="8"/>
        <v/>
      </c>
      <c r="AM33" s="1" t="s">
        <v>597</v>
      </c>
      <c r="AO33" s="1" t="str">
        <f t="shared" si="9"/>
        <v>((  AFC X  UA ) +  MC ) X ( 1  ÷ ( 1 + (  X 30 L X ((  AFC X  UA ) +  MC )) ÷ (   C X   N X  V ))) =  CLC</v>
      </c>
    </row>
    <row r="34" spans="3:41">
      <c r="C34" s="302">
        <v>1</v>
      </c>
      <c r="D34" s="1" t="s">
        <v>668</v>
      </c>
      <c r="E34" s="302">
        <v>2</v>
      </c>
      <c r="F34" s="408">
        <v>20</v>
      </c>
      <c r="G34" s="403">
        <v>16602</v>
      </c>
      <c r="H34" s="404">
        <v>1</v>
      </c>
      <c r="I34" s="404">
        <v>0</v>
      </c>
      <c r="J34" s="404">
        <v>2425</v>
      </c>
      <c r="K34" s="404">
        <v>1</v>
      </c>
      <c r="L34" s="404">
        <f>IF(C34=0,"",Input!D$12)</f>
        <v>208</v>
      </c>
      <c r="M34" s="405">
        <f t="shared" si="12"/>
        <v>7167</v>
      </c>
      <c r="N34" s="302">
        <f t="shared" si="13"/>
        <v>7.2</v>
      </c>
      <c r="O34" s="302" t="str">
        <f t="shared" si="14"/>
        <v xml:space="preserve"> K </v>
      </c>
      <c r="P34" s="302" t="str">
        <f>IF(C34=0,"",CONCATENATE(N34,O34))</f>
        <v xml:space="preserve">7.2 K </v>
      </c>
      <c r="R34" s="1" t="s">
        <v>608</v>
      </c>
      <c r="S34" s="1" t="s">
        <v>663</v>
      </c>
      <c r="T34" s="1" t="s">
        <v>664</v>
      </c>
      <c r="U34" s="1" t="s">
        <v>180</v>
      </c>
      <c r="V34" s="12" t="str">
        <f t="shared" si="0"/>
        <v>2.000</v>
      </c>
      <c r="W34" s="1" t="s">
        <v>137</v>
      </c>
      <c r="X34" s="12" t="str">
        <f t="shared" si="1"/>
        <v>30</v>
      </c>
      <c r="Y34" s="1" t="s">
        <v>665</v>
      </c>
      <c r="Z34" s="2" t="str">
        <f t="shared" si="2"/>
        <v>16,602</v>
      </c>
      <c r="AA34" s="2" t="s">
        <v>557</v>
      </c>
      <c r="AB34" s="401" t="str">
        <f t="shared" si="3"/>
        <v>1.0</v>
      </c>
      <c r="AC34" s="2" t="s">
        <v>554</v>
      </c>
      <c r="AD34" s="401" t="str">
        <f t="shared" si="4"/>
        <v>0.0</v>
      </c>
      <c r="AE34" s="1" t="s">
        <v>666</v>
      </c>
      <c r="AF34" s="402" t="str">
        <f t="shared" si="5"/>
        <v>2,425</v>
      </c>
      <c r="AG34" s="2" t="s">
        <v>585</v>
      </c>
      <c r="AH34" s="402" t="str">
        <f t="shared" si="6"/>
        <v>1</v>
      </c>
      <c r="AI34" s="2" t="s">
        <v>586</v>
      </c>
      <c r="AJ34" s="402" t="str">
        <f t="shared" si="7"/>
        <v>208</v>
      </c>
      <c r="AK34" s="1" t="s">
        <v>667</v>
      </c>
      <c r="AL34" s="1" t="str">
        <f t="shared" si="8"/>
        <v>7,167</v>
      </c>
      <c r="AM34" s="1" t="s">
        <v>597</v>
      </c>
      <c r="AO34" s="1" t="str">
        <f>IF(C34=0,"",CONCATENATE(R34,Z34,AA34,AB34,AC34,AD34,S34,T34,U34,V34,W34,X34,Y34,Z34,AA34,AB34,AC34,AD34,AE34,AF34,AG34,AH34,AI34,AJ34,AK34,AL34,AM34))</f>
        <v>(( 16,602 AFC X 1.0 UA ) + 0.0 MC ) X ( 1  ÷ ( 1 + ( 2.000 X 30 L X (( 16,602 AFC X 1.0 UA ) + 0.0 MC )) ÷ ( 2,425 C X 1 N X 208 V ))) = 7,167 CLC</v>
      </c>
    </row>
    <row r="35" spans="3:41">
      <c r="C35" s="302">
        <v>0</v>
      </c>
      <c r="D35" s="1" t="s">
        <v>669</v>
      </c>
      <c r="E35" s="302" t="s">
        <v>118</v>
      </c>
      <c r="F35" s="408" t="s">
        <v>118</v>
      </c>
      <c r="G35" s="403" t="s">
        <v>118</v>
      </c>
      <c r="H35" s="404" t="s">
        <v>118</v>
      </c>
      <c r="I35" s="404" t="s">
        <v>118</v>
      </c>
      <c r="J35" s="404" t="s">
        <v>118</v>
      </c>
      <c r="K35" s="404" t="s">
        <v>118</v>
      </c>
      <c r="L35" s="404" t="str">
        <f>IF(C34=0,"",IF(C35=0,"",Input!D$12))</f>
        <v/>
      </c>
      <c r="M35" s="405" t="str">
        <f>IF(C34=0,"",IF(C35=0,"",(ROUND(((((G35*H35)+I35)*(1/(1+(E35*F35*((G35*H35)+I35))/(J35*K35*L35))))),0))))</f>
        <v/>
      </c>
      <c r="N35" s="302" t="str">
        <f>IF(C34=0,"",IF(C35=0,"",ROUND(M35/1000,1)))</f>
        <v/>
      </c>
      <c r="O35" s="302" t="str">
        <f>IF(C34=0,"",IF(C35=0,""," K "))</f>
        <v/>
      </c>
      <c r="P35" s="302" t="str">
        <f>IF(C34=0,"",IF(C35=0,"",CONCATENATE(N35,O35)))</f>
        <v/>
      </c>
      <c r="R35" s="1" t="s">
        <v>608</v>
      </c>
      <c r="S35" s="1" t="s">
        <v>663</v>
      </c>
      <c r="T35" s="1" t="s">
        <v>664</v>
      </c>
      <c r="U35" s="1" t="s">
        <v>180</v>
      </c>
      <c r="V35" s="12" t="str">
        <f t="shared" si="0"/>
        <v/>
      </c>
      <c r="W35" s="1" t="s">
        <v>137</v>
      </c>
      <c r="X35" s="12" t="str">
        <f t="shared" si="1"/>
        <v>30</v>
      </c>
      <c r="Y35" s="1" t="s">
        <v>665</v>
      </c>
      <c r="Z35" s="2" t="str">
        <f t="shared" si="2"/>
        <v/>
      </c>
      <c r="AA35" s="2" t="s">
        <v>557</v>
      </c>
      <c r="AB35" s="401" t="str">
        <f t="shared" si="3"/>
        <v/>
      </c>
      <c r="AC35" s="2" t="s">
        <v>554</v>
      </c>
      <c r="AD35" s="401" t="str">
        <f t="shared" si="4"/>
        <v/>
      </c>
      <c r="AE35" s="1" t="s">
        <v>666</v>
      </c>
      <c r="AF35" s="402" t="str">
        <f t="shared" si="5"/>
        <v/>
      </c>
      <c r="AG35" s="2" t="s">
        <v>585</v>
      </c>
      <c r="AH35" s="402" t="str">
        <f t="shared" si="6"/>
        <v/>
      </c>
      <c r="AI35" s="2" t="s">
        <v>586</v>
      </c>
      <c r="AJ35" s="402" t="str">
        <f t="shared" si="7"/>
        <v/>
      </c>
      <c r="AK35" s="1" t="s">
        <v>667</v>
      </c>
      <c r="AL35" s="1" t="str">
        <f t="shared" si="8"/>
        <v/>
      </c>
      <c r="AM35" s="1" t="s">
        <v>597</v>
      </c>
      <c r="AO35" s="1" t="str">
        <f>IF(C34=0,"",IF(C35=0,"",CONCATENATE(R35,Z35,AA35,AB35,AC35,AD35,S35,T35,U35,V35,W35,X35,Y35,Z35,AA35,AB35,AC35,AD35,AE35,AF35,AG35,AH35,AI35,AJ35,AK35,AL35,AM35)))</f>
        <v/>
      </c>
    </row>
    <row r="36" spans="3:41">
      <c r="C36" s="302">
        <f>IF(Input!D26="YES",1,0)</f>
        <v>1</v>
      </c>
      <c r="D36" s="1" t="s">
        <v>670</v>
      </c>
      <c r="E36" s="302">
        <f>IF(C36=0,"",IF(Input!D11=1,2,1.732))</f>
        <v>1.732</v>
      </c>
      <c r="F36" s="408">
        <f>IF(C36=0,"",Input!D35)</f>
        <v>50</v>
      </c>
      <c r="G36" s="403">
        <f>IF(C36=0,"",IF(Input!D33="MANUAL",Input!D56,Input!D36))</f>
        <v>30000</v>
      </c>
      <c r="H36" s="404">
        <f>IF(C36=0,"",1.1)</f>
        <v>1.1000000000000001</v>
      </c>
      <c r="I36" s="404">
        <f>IF(C36=0,"",0)</f>
        <v>0</v>
      </c>
      <c r="J36" s="404">
        <f>IF(C36=0,"",Short!AA55)</f>
        <v>13910</v>
      </c>
      <c r="K36" s="404">
        <f>IF(C36=0,"",Conduit!I54)</f>
        <v>1</v>
      </c>
      <c r="L36" s="404">
        <f>IF(C36=0,"",Input!D12)</f>
        <v>208</v>
      </c>
      <c r="M36" s="405">
        <f>IF(C36=0,"",IF(Input!D33="MANUAL",Input!D56,(ROUND(((((G36*H36)+I36)*(1/(1+(E36*F36*((G36*H36)+I36))/(J36*K36*L36))))),0))))</f>
        <v>16602</v>
      </c>
      <c r="N36" s="302">
        <f>IF(C36=0,"",ROUND(M36/1000,1))</f>
        <v>16.600000000000001</v>
      </c>
      <c r="O36" s="302" t="str">
        <f>IF(C36=0,""," K ")</f>
        <v xml:space="preserve"> K </v>
      </c>
      <c r="P36" s="302" t="str">
        <f>IF(C36=0,"",CONCATENATE(Q36,N36,O36))</f>
        <v xml:space="preserve"> 16.6 K </v>
      </c>
      <c r="Q36" s="1" t="s">
        <v>53</v>
      </c>
      <c r="R36" s="1" t="s">
        <v>608</v>
      </c>
      <c r="S36" s="1" t="s">
        <v>663</v>
      </c>
      <c r="T36" s="1" t="s">
        <v>664</v>
      </c>
      <c r="U36" s="1" t="s">
        <v>180</v>
      </c>
      <c r="V36" s="12" t="str">
        <f t="shared" si="0"/>
        <v>1.732</v>
      </c>
      <c r="W36" s="1" t="s">
        <v>137</v>
      </c>
      <c r="X36" s="12" t="str">
        <f t="shared" si="1"/>
        <v>30</v>
      </c>
      <c r="Y36" s="1" t="s">
        <v>665</v>
      </c>
      <c r="Z36" s="2" t="str">
        <f t="shared" si="2"/>
        <v>30,000</v>
      </c>
      <c r="AA36" s="2" t="s">
        <v>557</v>
      </c>
      <c r="AB36" s="401" t="str">
        <f t="shared" si="3"/>
        <v>1.1</v>
      </c>
      <c r="AC36" s="2" t="s">
        <v>554</v>
      </c>
      <c r="AD36" s="401" t="str">
        <f t="shared" si="4"/>
        <v>0.0</v>
      </c>
      <c r="AE36" s="1" t="s">
        <v>666</v>
      </c>
      <c r="AF36" s="402" t="str">
        <f t="shared" si="5"/>
        <v>13,910</v>
      </c>
      <c r="AG36" s="2" t="s">
        <v>585</v>
      </c>
      <c r="AH36" s="402" t="str">
        <f t="shared" si="6"/>
        <v>1</v>
      </c>
      <c r="AI36" s="2" t="s">
        <v>586</v>
      </c>
      <c r="AJ36" s="402" t="str">
        <f t="shared" si="7"/>
        <v>208</v>
      </c>
      <c r="AK36" s="1" t="s">
        <v>667</v>
      </c>
      <c r="AL36" s="1" t="str">
        <f t="shared" si="8"/>
        <v>16,602</v>
      </c>
      <c r="AM36" s="1" t="s">
        <v>597</v>
      </c>
      <c r="AO36" s="1" t="str">
        <f t="shared" si="9"/>
        <v>(( 30,000 AFC X 1.1 UA ) + 0.0 MC ) X ( 1  ÷ ( 1 + ( 1.732 X 30 L X (( 30,000 AFC X 1.1 UA ) + 0.0 MC )) ÷ ( 13,910 C X 1 N X 208 V ))) = 16,602 CLC</v>
      </c>
    </row>
    <row r="38" spans="3:41">
      <c r="I38" s="12">
        <f>(G36*H36)+I36</f>
        <v>33000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U100"/>
  <sheetViews>
    <sheetView topLeftCell="C1" workbookViewId="0">
      <selection activeCell="C2" sqref="C2"/>
    </sheetView>
  </sheetViews>
  <sheetFormatPr defaultRowHeight="11.25"/>
  <cols>
    <col min="1" max="23" width="9.140625" style="248"/>
    <col min="24" max="26" width="9.140625" style="244"/>
    <col min="27" max="27" width="14.140625" style="244" customWidth="1"/>
    <col min="28" max="28" width="18.85546875" style="245" customWidth="1"/>
    <col min="29" max="29" width="17.42578125" style="244" customWidth="1"/>
    <col min="30" max="30" width="10.7109375" style="244" customWidth="1"/>
    <col min="31" max="31" width="16.42578125" style="244" customWidth="1"/>
    <col min="32" max="32" width="13" style="244" customWidth="1"/>
    <col min="33" max="34" width="10.7109375" style="244" customWidth="1"/>
    <col min="35" max="47" width="9.140625" style="244"/>
    <col min="48" max="16384" width="9.140625" style="248"/>
  </cols>
  <sheetData>
    <row r="1" spans="1:29">
      <c r="A1" s="244"/>
      <c r="B1" s="244"/>
      <c r="C1" s="245" t="s">
        <v>551</v>
      </c>
      <c r="D1" s="246"/>
      <c r="E1" s="247"/>
      <c r="F1" s="246"/>
      <c r="G1" s="251">
        <f>Input!D36</f>
        <v>30000</v>
      </c>
      <c r="H1" s="251">
        <f>Input!D56</f>
        <v>30000</v>
      </c>
      <c r="I1" s="246" t="str">
        <f>Input!D33</f>
        <v>AUTO</v>
      </c>
      <c r="J1" s="246"/>
      <c r="K1" s="246"/>
      <c r="L1" s="246"/>
      <c r="M1" s="246"/>
      <c r="N1" s="246"/>
      <c r="O1" s="246"/>
      <c r="P1" s="244"/>
      <c r="Q1" s="244"/>
      <c r="R1" s="244"/>
      <c r="S1" s="244"/>
      <c r="T1" s="244"/>
      <c r="U1" s="244"/>
      <c r="V1" s="244"/>
      <c r="W1" s="244"/>
    </row>
    <row r="2" spans="1:29">
      <c r="A2" s="244"/>
      <c r="B2" s="244"/>
      <c r="C2" s="246"/>
      <c r="D2" s="246"/>
      <c r="E2" s="247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4"/>
      <c r="Q2" s="244"/>
      <c r="R2" s="244"/>
      <c r="S2" s="244"/>
      <c r="T2" s="244"/>
      <c r="U2" s="244"/>
      <c r="V2" s="244"/>
      <c r="W2" s="244"/>
    </row>
    <row r="3" spans="1:29">
      <c r="A3" s="244"/>
      <c r="B3" s="244"/>
      <c r="C3" s="245"/>
      <c r="D3" s="249" t="s">
        <v>552</v>
      </c>
      <c r="E3" s="247"/>
      <c r="F3" s="245"/>
      <c r="G3" s="245" t="s">
        <v>608</v>
      </c>
      <c r="H3" s="293">
        <f>IF(I1="AUTO",G1,H1)</f>
        <v>30000</v>
      </c>
      <c r="I3" s="245" t="s">
        <v>553</v>
      </c>
      <c r="J3" s="250">
        <v>1.1000000000000001</v>
      </c>
      <c r="K3" s="246" t="s">
        <v>554</v>
      </c>
      <c r="L3" s="294">
        <v>0</v>
      </c>
      <c r="M3" s="246" t="s">
        <v>555</v>
      </c>
      <c r="N3" s="251">
        <f>((H3*J3)+L3)</f>
        <v>33000</v>
      </c>
      <c r="O3" s="245" t="s">
        <v>556</v>
      </c>
      <c r="P3" s="244"/>
      <c r="Q3" s="244"/>
      <c r="R3" s="244"/>
      <c r="S3" s="244"/>
      <c r="T3" s="244"/>
      <c r="U3" s="244"/>
      <c r="V3" s="244"/>
      <c r="W3" s="244"/>
    </row>
    <row r="4" spans="1:29">
      <c r="A4" s="244"/>
      <c r="B4" s="244"/>
      <c r="C4" s="252"/>
      <c r="D4" s="249" t="s">
        <v>552</v>
      </c>
      <c r="E4" s="253"/>
      <c r="F4" s="254"/>
      <c r="G4" s="245" t="s">
        <v>608</v>
      </c>
      <c r="H4" s="255" t="str">
        <f>TEXT(H3, "#,##0")</f>
        <v>30,000</v>
      </c>
      <c r="I4" s="245" t="s">
        <v>557</v>
      </c>
      <c r="J4" s="255" t="str">
        <f>TEXT(J3, "0.00")</f>
        <v>1.10</v>
      </c>
      <c r="K4" s="246" t="s">
        <v>554</v>
      </c>
      <c r="L4" s="255" t="str">
        <f>TEXT(L3, "#,##0")</f>
        <v>0</v>
      </c>
      <c r="M4" s="246" t="s">
        <v>555</v>
      </c>
      <c r="N4" s="255" t="str">
        <f>TEXT(N3, "#,##0")</f>
        <v>33,000</v>
      </c>
      <c r="O4" s="245" t="s">
        <v>556</v>
      </c>
      <c r="P4" s="244"/>
      <c r="Q4" s="244"/>
      <c r="R4" s="244"/>
      <c r="S4" s="244" t="str">
        <f>CONCATENATE(G4,H4,I4,J4,K4,L4,M4,N4,O4)</f>
        <v>(( 30,000 AFC X 1.10 UA ) + 0 MC ) = 33,000 AFC</v>
      </c>
      <c r="T4" s="244"/>
      <c r="U4" s="244"/>
      <c r="V4" s="244"/>
      <c r="W4" s="244"/>
    </row>
    <row r="5" spans="1:29">
      <c r="A5" s="244"/>
      <c r="B5" s="244"/>
      <c r="C5" s="254"/>
      <c r="D5" s="255"/>
      <c r="E5" s="256"/>
      <c r="F5" s="257"/>
      <c r="G5" s="254"/>
      <c r="H5" s="255"/>
      <c r="I5" s="255"/>
      <c r="J5" s="258"/>
      <c r="K5" s="259"/>
      <c r="L5" s="255"/>
      <c r="M5" s="249"/>
      <c r="N5" s="249"/>
      <c r="O5" s="252"/>
      <c r="P5" s="244" t="str">
        <f>CONCATENATE(N4,O4)</f>
        <v>33,000 AFC</v>
      </c>
      <c r="Q5" s="244"/>
      <c r="R5" s="244"/>
      <c r="S5" s="244"/>
      <c r="T5" s="244"/>
      <c r="U5" s="244"/>
      <c r="V5" s="244"/>
      <c r="W5" s="244"/>
    </row>
    <row r="6" spans="1:29">
      <c r="A6" s="244"/>
      <c r="B6" s="248" t="s">
        <v>558</v>
      </c>
      <c r="C6" s="260" t="str">
        <f>CONCATENATE(G6,H6,I6)</f>
        <v xml:space="preserve"> &lt; 33,000 AFC</v>
      </c>
      <c r="E6" s="256"/>
      <c r="F6" s="255"/>
      <c r="G6" s="254" t="s">
        <v>559</v>
      </c>
      <c r="H6" s="255" t="str">
        <f>H22</f>
        <v>33,000</v>
      </c>
      <c r="I6" s="255" t="s">
        <v>556</v>
      </c>
      <c r="J6" s="258"/>
      <c r="K6" s="259"/>
      <c r="L6" s="255"/>
      <c r="M6" s="249"/>
      <c r="N6" s="249"/>
      <c r="O6" s="252"/>
      <c r="P6" s="244"/>
      <c r="Q6" s="244"/>
      <c r="R6" s="244"/>
      <c r="S6" s="244"/>
      <c r="T6" s="244"/>
      <c r="U6" s="244"/>
      <c r="V6" s="244"/>
      <c r="W6" s="244"/>
    </row>
    <row r="7" spans="1:29">
      <c r="C7" s="260"/>
      <c r="J7" s="261">
        <v>0</v>
      </c>
      <c r="P7" s="248">
        <v>0.75</v>
      </c>
      <c r="Q7" s="248" t="s">
        <v>560</v>
      </c>
    </row>
    <row r="8" spans="1:29">
      <c r="C8" s="260" t="str">
        <f>CONCATENATE(G8,H8,I8,I8,J8)</f>
        <v xml:space="preserve"> &lt; 0' ' LENGTH</v>
      </c>
      <c r="G8" s="254" t="s">
        <v>559</v>
      </c>
      <c r="H8" s="261">
        <v>0</v>
      </c>
      <c r="I8" s="262" t="s">
        <v>561</v>
      </c>
      <c r="J8" s="248" t="s">
        <v>111</v>
      </c>
      <c r="P8" s="248">
        <v>1</v>
      </c>
      <c r="Q8" s="248" t="s">
        <v>562</v>
      </c>
      <c r="AB8" s="245" t="s">
        <v>563</v>
      </c>
      <c r="AC8" s="298" t="str">
        <f>Input!D34</f>
        <v>CONDUIT</v>
      </c>
    </row>
    <row r="9" spans="1:29">
      <c r="C9" s="260" t="str">
        <f>CONCATENATE(G9,H9,I9,J9,K9,L9)</f>
        <v xml:space="preserve">     - 0 0</v>
      </c>
      <c r="G9" s="254" t="s">
        <v>564</v>
      </c>
      <c r="H9" s="263"/>
      <c r="I9" s="248" t="s">
        <v>256</v>
      </c>
      <c r="J9" s="264">
        <v>0</v>
      </c>
      <c r="K9" s="248" t="s">
        <v>53</v>
      </c>
      <c r="L9" s="261">
        <v>0</v>
      </c>
      <c r="P9" s="248">
        <v>1.25</v>
      </c>
      <c r="Q9" s="248" t="s">
        <v>565</v>
      </c>
    </row>
    <row r="10" spans="1:29">
      <c r="C10" s="260" t="str">
        <f>CONCATENATE(G10,H10,I10,J10,K10,L10,M10,N10)</f>
        <v xml:space="preserve">    0 - 0 0 0</v>
      </c>
      <c r="G10" s="254" t="s">
        <v>564</v>
      </c>
      <c r="H10" s="265">
        <v>0</v>
      </c>
      <c r="I10" s="248" t="s">
        <v>256</v>
      </c>
      <c r="J10" s="261">
        <v>0</v>
      </c>
      <c r="K10" s="248" t="s">
        <v>53</v>
      </c>
      <c r="L10" s="266">
        <v>0</v>
      </c>
      <c r="M10" s="248" t="s">
        <v>53</v>
      </c>
      <c r="N10" s="266">
        <v>0</v>
      </c>
      <c r="P10" s="248">
        <v>1.5</v>
      </c>
      <c r="Q10" s="248" t="s">
        <v>566</v>
      </c>
      <c r="AB10" s="245" t="s">
        <v>298</v>
      </c>
      <c r="AC10" s="298">
        <f>IF(Input!D$42=AB10,1,0)</f>
        <v>0</v>
      </c>
    </row>
    <row r="11" spans="1:29">
      <c r="C11" s="260" t="str">
        <f>CONCATENATE(G11,H11,I11,J11,K11,L11,M11,N11)</f>
        <v xml:space="preserve">    0000</v>
      </c>
      <c r="G11" s="254" t="s">
        <v>564</v>
      </c>
      <c r="H11" s="261">
        <v>0</v>
      </c>
      <c r="I11" s="261">
        <v>0</v>
      </c>
      <c r="J11" s="261">
        <v>0</v>
      </c>
      <c r="K11" s="261">
        <v>0</v>
      </c>
      <c r="P11" s="248">
        <v>2</v>
      </c>
      <c r="Q11" s="248" t="s">
        <v>567</v>
      </c>
      <c r="AB11" s="245" t="s">
        <v>299</v>
      </c>
      <c r="AC11" s="298">
        <f>IF(Input!D$42=AB11,1,0)</f>
        <v>0</v>
      </c>
    </row>
    <row r="12" spans="1:29">
      <c r="C12" s="260"/>
      <c r="P12" s="248">
        <v>2.5</v>
      </c>
      <c r="Q12" s="248" t="s">
        <v>568</v>
      </c>
      <c r="AB12" s="245" t="s">
        <v>300</v>
      </c>
      <c r="AC12" s="298">
        <f>IF(Input!D$42=AB12,1,0)</f>
        <v>1</v>
      </c>
    </row>
    <row r="13" spans="1:29">
      <c r="C13" s="260"/>
      <c r="P13" s="248">
        <v>3</v>
      </c>
      <c r="Q13" s="248" t="s">
        <v>569</v>
      </c>
      <c r="AB13" s="245" t="s">
        <v>301</v>
      </c>
      <c r="AC13" s="298">
        <f>IF(Input!D$42=AB13,1,0)</f>
        <v>0</v>
      </c>
    </row>
    <row r="14" spans="1:29">
      <c r="C14" s="260"/>
      <c r="P14" s="248">
        <v>3.5</v>
      </c>
      <c r="Q14" s="248" t="s">
        <v>570</v>
      </c>
      <c r="AB14" s="245" t="s">
        <v>302</v>
      </c>
      <c r="AC14" s="298">
        <f>IF(Input!D$42=AB14,2,0)</f>
        <v>0</v>
      </c>
    </row>
    <row r="15" spans="1:29">
      <c r="B15" s="248" t="s">
        <v>571</v>
      </c>
      <c r="C15" s="260" t="str">
        <f>CONCATENATE(G15,H15,I15)</f>
        <v xml:space="preserve"> &lt; 16,599 AFC</v>
      </c>
      <c r="G15" s="254" t="s">
        <v>559</v>
      </c>
      <c r="H15" s="267" t="str">
        <f>H30</f>
        <v>16,599</v>
      </c>
      <c r="I15" s="248" t="s">
        <v>556</v>
      </c>
      <c r="P15" s="248">
        <v>4</v>
      </c>
      <c r="Q15" s="248" t="s">
        <v>572</v>
      </c>
      <c r="AB15" s="245" t="s">
        <v>303</v>
      </c>
      <c r="AC15" s="298">
        <f>IF(Input!D$42=AB15,1,0)</f>
        <v>0</v>
      </c>
    </row>
    <row r="16" spans="1:29">
      <c r="AB16" s="245" t="s">
        <v>304</v>
      </c>
      <c r="AC16" s="298">
        <f>IF(Input!D$42=AB16,1,0)</f>
        <v>0</v>
      </c>
    </row>
    <row r="17" spans="1:35">
      <c r="AB17" s="245" t="s">
        <v>305</v>
      </c>
      <c r="AC17" s="298">
        <f>IF(Input!D$42=AB17,1,0)</f>
        <v>0</v>
      </c>
    </row>
    <row r="19" spans="1:35">
      <c r="A19" s="244"/>
      <c r="B19" s="244"/>
      <c r="C19" s="252" t="s">
        <v>573</v>
      </c>
      <c r="D19" s="245"/>
      <c r="E19" s="245"/>
      <c r="F19" s="246"/>
      <c r="G19" s="246"/>
      <c r="H19" s="244"/>
      <c r="I19" s="244"/>
      <c r="J19" s="244"/>
      <c r="K19" s="244"/>
      <c r="L19" s="244"/>
      <c r="M19" s="244"/>
      <c r="N19" s="244"/>
      <c r="O19" s="244"/>
      <c r="P19" s="244"/>
      <c r="AB19" s="245" t="s">
        <v>574</v>
      </c>
      <c r="AC19" s="244">
        <f>IF(AC8="SER",5,IF(AC8="ROMEX",5,IF(AC8="MC",1,SUM(AC10:AC17))))</f>
        <v>1</v>
      </c>
    </row>
    <row r="20" spans="1:35">
      <c r="A20" s="244"/>
      <c r="B20" s="244"/>
      <c r="C20" s="252" t="s">
        <v>438</v>
      </c>
      <c r="D20" s="254"/>
      <c r="E20" s="254"/>
      <c r="F20" s="254"/>
      <c r="G20" s="254"/>
      <c r="H20" s="268"/>
      <c r="I20" s="268"/>
      <c r="J20" s="268"/>
      <c r="K20" s="268"/>
      <c r="L20" s="268"/>
      <c r="M20" s="268"/>
      <c r="N20" s="244"/>
      <c r="O20" s="244"/>
      <c r="P20" s="246"/>
      <c r="AB20" s="245" t="s">
        <v>575</v>
      </c>
      <c r="AC20" s="298">
        <f>IF(Input!D37="CU",0,IF(AND(Input!D37="AL",AC8="SER"),1,IF(AND(Input!D37="AL",AC8="ROMEX"),1,IF(Input!D37="AL",2,"ERROR"))))</f>
        <v>2</v>
      </c>
    </row>
    <row r="21" spans="1:35">
      <c r="A21" s="244"/>
      <c r="B21" s="244" t="s">
        <v>576</v>
      </c>
      <c r="C21" s="254" t="s">
        <v>180</v>
      </c>
      <c r="D21" s="295">
        <f>IF(Input!D11=1,2,1.732)</f>
        <v>1.732</v>
      </c>
      <c r="E21" s="269" t="s">
        <v>577</v>
      </c>
      <c r="F21" s="296">
        <f>Input!D35</f>
        <v>50</v>
      </c>
      <c r="G21" s="270" t="s">
        <v>578</v>
      </c>
      <c r="H21" s="257">
        <f>N3</f>
        <v>33000</v>
      </c>
      <c r="I21" s="255" t="s">
        <v>579</v>
      </c>
      <c r="J21" s="257">
        <f>AA55</f>
        <v>13910</v>
      </c>
      <c r="K21" s="271" t="s">
        <v>580</v>
      </c>
      <c r="L21" s="296">
        <f>Conduit!I54</f>
        <v>1</v>
      </c>
      <c r="M21" s="272" t="s">
        <v>581</v>
      </c>
      <c r="N21" s="297">
        <f>Input!D12</f>
        <v>208</v>
      </c>
      <c r="O21" s="273" t="s">
        <v>247</v>
      </c>
      <c r="P21" s="274">
        <f>ROUND((D21*F21*H21)/(J21*L21*N21),3)</f>
        <v>0.98799999999999999</v>
      </c>
      <c r="R21" s="275" t="s">
        <v>582</v>
      </c>
      <c r="S21" s="275" t="s">
        <v>583</v>
      </c>
    </row>
    <row r="22" spans="1:35">
      <c r="A22" s="244"/>
      <c r="B22" s="244" t="s">
        <v>576</v>
      </c>
      <c r="C22" s="254" t="s">
        <v>180</v>
      </c>
      <c r="D22" s="255" t="str">
        <f>TEXT(D21, "general")</f>
        <v>1.732</v>
      </c>
      <c r="E22" s="269" t="s">
        <v>137</v>
      </c>
      <c r="F22" s="255" t="str">
        <f>TEXT(F21, "0")</f>
        <v>50</v>
      </c>
      <c r="G22" s="270" t="s">
        <v>584</v>
      </c>
      <c r="H22" s="255" t="str">
        <f>TEXT(H21, "#,##0")</f>
        <v>33,000</v>
      </c>
      <c r="I22" s="276" t="str">
        <f>I21</f>
        <v xml:space="preserve"> AFC  ) ÷ ( </v>
      </c>
      <c r="J22" s="255" t="str">
        <f>TEXT(J21, "#,##0")</f>
        <v>13,910</v>
      </c>
      <c r="K22" s="271" t="s">
        <v>585</v>
      </c>
      <c r="L22" s="255" t="str">
        <f>TEXT(L21, "0")</f>
        <v>1</v>
      </c>
      <c r="M22" s="272" t="s">
        <v>586</v>
      </c>
      <c r="N22" s="255" t="str">
        <f>TEXT(N21, "0")</f>
        <v>208</v>
      </c>
      <c r="O22" s="273" t="s">
        <v>247</v>
      </c>
      <c r="P22" s="255" t="str">
        <f>TEXT(P21, "0.000")</f>
        <v>0.988</v>
      </c>
      <c r="R22" s="275" t="s">
        <v>582</v>
      </c>
      <c r="S22" s="275" t="str">
        <f>CONCATENATE(C22,D22,E22,F22,G22,H22,I22,J22,K22,L22,M22,N22,O22,P22,R22)</f>
        <v>( 1.732 X 50 L X 33,000 AFC  ) ÷ ( 13,910 C X 1 N X 208 V ) = 0.988 CF</v>
      </c>
      <c r="AB22" s="245" t="s">
        <v>199</v>
      </c>
      <c r="AC22" s="244">
        <f>SUM(AC19:AC20)</f>
        <v>3</v>
      </c>
    </row>
    <row r="23" spans="1:35">
      <c r="A23" s="244"/>
      <c r="B23" s="244"/>
      <c r="C23" s="254"/>
      <c r="D23" s="269"/>
      <c r="E23" s="269"/>
      <c r="F23" s="270"/>
      <c r="G23" s="270"/>
      <c r="H23" s="276"/>
      <c r="I23" s="276"/>
      <c r="J23" s="271"/>
      <c r="K23" s="271"/>
      <c r="L23" s="272"/>
      <c r="M23" s="272"/>
      <c r="N23" s="273"/>
      <c r="O23" s="273"/>
      <c r="P23" s="275"/>
      <c r="R23" s="275"/>
      <c r="S23" s="275"/>
    </row>
    <row r="24" spans="1:35">
      <c r="A24" s="244"/>
      <c r="B24" s="244"/>
      <c r="C24" s="252" t="s">
        <v>587</v>
      </c>
      <c r="D24" s="254"/>
      <c r="E24" s="254"/>
      <c r="F24" s="254"/>
      <c r="G24" s="254"/>
      <c r="H24" s="268"/>
      <c r="I24" s="268"/>
      <c r="J24" s="254"/>
      <c r="K24" s="268"/>
      <c r="L24" s="268"/>
      <c r="M24" s="268"/>
      <c r="N24" s="244"/>
      <c r="O24" s="244"/>
      <c r="P24" s="244"/>
      <c r="R24" s="244"/>
      <c r="S24" s="244"/>
    </row>
    <row r="25" spans="1:35">
      <c r="A25" s="244"/>
      <c r="B25" s="244" t="s">
        <v>588</v>
      </c>
      <c r="C25" s="246" t="s">
        <v>589</v>
      </c>
      <c r="D25" s="277">
        <v>1</v>
      </c>
      <c r="E25" s="276" t="s">
        <v>590</v>
      </c>
      <c r="F25" s="277">
        <v>1</v>
      </c>
      <c r="G25" s="278" t="s">
        <v>591</v>
      </c>
      <c r="H25" s="274">
        <f>P21</f>
        <v>0.98799999999999999</v>
      </c>
      <c r="I25" s="279" t="s">
        <v>592</v>
      </c>
      <c r="J25" s="274">
        <f>ROUND(D25/(F25+H25),3)</f>
        <v>0.503</v>
      </c>
      <c r="K25" s="280" t="s">
        <v>593</v>
      </c>
      <c r="L25" s="254"/>
      <c r="M25" s="254"/>
      <c r="N25" s="244"/>
      <c r="O25" s="244"/>
      <c r="P25" s="244"/>
      <c r="R25" s="244"/>
      <c r="S25" s="275" t="s">
        <v>583</v>
      </c>
    </row>
    <row r="26" spans="1:35">
      <c r="A26" s="244"/>
      <c r="B26" s="244" t="s">
        <v>588</v>
      </c>
      <c r="C26" s="246" t="s">
        <v>180</v>
      </c>
      <c r="D26" s="255" t="str">
        <f>TEXT(D25, "0")</f>
        <v>1</v>
      </c>
      <c r="E26" s="276" t="s">
        <v>590</v>
      </c>
      <c r="F26" s="255" t="str">
        <f>TEXT(F25, "0")</f>
        <v>1</v>
      </c>
      <c r="G26" s="278" t="s">
        <v>591</v>
      </c>
      <c r="H26" s="255" t="str">
        <f>TEXT(H25, "0.000")</f>
        <v>0.988</v>
      </c>
      <c r="I26" s="279" t="s">
        <v>592</v>
      </c>
      <c r="J26" s="255" t="str">
        <f>TEXT(J25, "0.000")</f>
        <v>0.503</v>
      </c>
      <c r="K26" s="280" t="s">
        <v>593</v>
      </c>
      <c r="L26" s="254"/>
      <c r="M26" s="254"/>
      <c r="N26" s="244"/>
      <c r="O26" s="244"/>
      <c r="P26" s="244"/>
      <c r="R26" s="244"/>
      <c r="S26" s="275" t="str">
        <f>CONCATENATE(C26,D26,E26,F26,G26,H26,I26,J26,K26)</f>
        <v xml:space="preserve">( 1 ) ÷ ( 1 + 0.988 CF ) = 0.503 CM </v>
      </c>
    </row>
    <row r="27" spans="1:35">
      <c r="A27" s="244"/>
      <c r="B27" s="244"/>
      <c r="C27" s="246"/>
      <c r="D27" s="281"/>
      <c r="E27" s="281"/>
      <c r="F27" s="278"/>
      <c r="G27" s="278"/>
      <c r="H27" s="279"/>
      <c r="I27" s="279"/>
      <c r="J27" s="280"/>
      <c r="K27" s="280"/>
      <c r="L27" s="254"/>
      <c r="M27" s="254"/>
      <c r="N27" s="244"/>
      <c r="O27" s="244"/>
      <c r="P27" s="244"/>
      <c r="R27" s="244"/>
      <c r="S27" s="244"/>
      <c r="AB27" s="245">
        <f>AC22</f>
        <v>3</v>
      </c>
      <c r="AC27" s="282"/>
    </row>
    <row r="28" spans="1:35">
      <c r="A28" s="244"/>
      <c r="B28" s="244"/>
      <c r="C28" s="245" t="s">
        <v>594</v>
      </c>
      <c r="D28" s="246"/>
      <c r="E28" s="246"/>
      <c r="F28" s="246"/>
      <c r="G28" s="246"/>
      <c r="H28" s="244"/>
      <c r="I28" s="244"/>
      <c r="J28" s="244"/>
      <c r="K28" s="244"/>
      <c r="L28" s="283"/>
      <c r="M28" s="283"/>
      <c r="N28" s="244"/>
      <c r="O28" s="244"/>
      <c r="P28" s="244"/>
      <c r="R28" s="244"/>
      <c r="S28" s="244"/>
    </row>
    <row r="29" spans="1:35">
      <c r="A29" s="244"/>
      <c r="B29" s="244" t="s">
        <v>595</v>
      </c>
      <c r="C29" s="246" t="s">
        <v>180</v>
      </c>
      <c r="D29" s="251">
        <f>H21</f>
        <v>33000</v>
      </c>
      <c r="E29" s="284" t="s">
        <v>557</v>
      </c>
      <c r="F29" s="274">
        <f>J25</f>
        <v>0.503</v>
      </c>
      <c r="G29" s="285" t="s">
        <v>596</v>
      </c>
      <c r="H29" s="251">
        <f>ROUND((D29*F29),3)</f>
        <v>16599</v>
      </c>
      <c r="I29" s="286" t="s">
        <v>597</v>
      </c>
      <c r="J29" s="252"/>
      <c r="K29" s="252"/>
      <c r="L29" s="244"/>
      <c r="M29" s="244"/>
      <c r="N29" s="244"/>
      <c r="O29" s="244"/>
      <c r="P29" s="244"/>
      <c r="R29" s="244"/>
      <c r="S29" s="275" t="s">
        <v>583</v>
      </c>
      <c r="AB29" s="245">
        <f>AB27</f>
        <v>3</v>
      </c>
      <c r="AD29" s="244">
        <v>1</v>
      </c>
      <c r="AE29" s="244">
        <v>2</v>
      </c>
      <c r="AF29" s="244">
        <v>3</v>
      </c>
      <c r="AG29" s="244">
        <v>4</v>
      </c>
      <c r="AH29" s="287">
        <v>5</v>
      </c>
      <c r="AI29" s="287">
        <v>6</v>
      </c>
    </row>
    <row r="30" spans="1:35">
      <c r="A30" s="244"/>
      <c r="B30" s="244" t="s">
        <v>595</v>
      </c>
      <c r="C30" s="246" t="s">
        <v>180</v>
      </c>
      <c r="D30" s="255" t="str">
        <f>TEXT(D29, "#,##0")</f>
        <v>33,000</v>
      </c>
      <c r="E30" s="284" t="str">
        <f>E29</f>
        <v xml:space="preserve"> AFC X </v>
      </c>
      <c r="F30" s="255" t="str">
        <f>TEXT(F29, "0.000")</f>
        <v>0.503</v>
      </c>
      <c r="G30" s="285" t="s">
        <v>596</v>
      </c>
      <c r="H30" s="255" t="str">
        <f>TEXT(H29, "#,##0")</f>
        <v>16,599</v>
      </c>
      <c r="I30" s="286" t="s">
        <v>597</v>
      </c>
      <c r="J30" s="252"/>
      <c r="K30" s="252"/>
      <c r="L30" s="244" t="str">
        <f>CONCATENATE(H30,I30)</f>
        <v>16,599 CLC</v>
      </c>
      <c r="M30" s="244"/>
      <c r="N30" s="244"/>
      <c r="O30" s="244"/>
      <c r="P30" s="244"/>
      <c r="R30" s="244"/>
      <c r="S30" s="275" t="str">
        <f>CONCATENATE(C30,D30,E30,F30,G30,H30,I30)</f>
        <v>( 33,000 AFC X 0.503 CM ) = 16,599 CLC</v>
      </c>
      <c r="AB30" s="245" t="str">
        <f>IF($AB$27=1,AD30,IF($AB$27=2,AE30,IF($AB$27=3,AF30,IF($AB$27=4,AG30,IF($AB$27=5,AH30,IF($AB$27=6,AI30,"ERROR"))))))</f>
        <v>Steel Conduit</v>
      </c>
      <c r="AC30" s="244" t="s">
        <v>598</v>
      </c>
      <c r="AD30" s="282" t="s">
        <v>599</v>
      </c>
      <c r="AE30" s="282" t="s">
        <v>600</v>
      </c>
      <c r="AF30" s="282" t="s">
        <v>599</v>
      </c>
      <c r="AG30" s="282" t="s">
        <v>600</v>
      </c>
      <c r="AH30" s="287" t="s">
        <v>601</v>
      </c>
      <c r="AI30" s="287" t="s">
        <v>601</v>
      </c>
    </row>
    <row r="31" spans="1:35">
      <c r="A31" s="244"/>
      <c r="B31" s="244"/>
      <c r="C31" s="254"/>
      <c r="D31" s="255"/>
      <c r="E31" s="254"/>
      <c r="F31" s="252"/>
      <c r="G31" s="252"/>
      <c r="H31" s="245"/>
      <c r="I31" s="254"/>
      <c r="J31" s="246"/>
      <c r="K31" s="246"/>
      <c r="L31" s="254"/>
      <c r="M31" s="254"/>
      <c r="N31" s="244"/>
      <c r="O31" s="244"/>
      <c r="P31" s="244"/>
      <c r="AB31" s="245" t="str">
        <f t="shared" ref="AB31:AB50" si="0">IF($AB$27=1,AD31,IF($AB$27=2,AE31,IF($AB$27=3,AF31,IF($AB$27=4,AG31,IF($AB$27=5,AH31,IF($AB$27=6,AI31,"ERROR"))))))</f>
        <v>3 or 4 Single</v>
      </c>
      <c r="AD31" s="244" t="s">
        <v>602</v>
      </c>
      <c r="AE31" s="244" t="s">
        <v>602</v>
      </c>
      <c r="AF31" s="244" t="s">
        <v>602</v>
      </c>
      <c r="AG31" s="244" t="s">
        <v>602</v>
      </c>
      <c r="AH31" s="287" t="s">
        <v>113</v>
      </c>
      <c r="AI31" s="287" t="s">
        <v>113</v>
      </c>
    </row>
    <row r="32" spans="1:35">
      <c r="A32" s="244"/>
      <c r="B32" s="244"/>
      <c r="C32" s="254"/>
      <c r="D32" s="283"/>
      <c r="E32" s="288" t="str">
        <f>CONCATENATE(B30,C30,D30,E30,F30,G30,H30,I30)</f>
        <v>Conductor Let-Through Current CLC - Formula ( 33,000 AFC X 0.503 CM ) = 16,599 CLC</v>
      </c>
      <c r="F32" s="289"/>
      <c r="G32" s="289"/>
      <c r="H32" s="257"/>
      <c r="I32" s="257"/>
      <c r="J32" s="246"/>
      <c r="K32" s="246"/>
      <c r="L32" s="254"/>
      <c r="M32" s="254"/>
      <c r="N32" s="244"/>
      <c r="O32" s="244"/>
      <c r="P32" s="244"/>
      <c r="X32" s="244" t="s">
        <v>603</v>
      </c>
      <c r="Y32" s="300" t="str">
        <f>IF(Input!D34&lt;&gt;"CONDUIT",Short!V34,Short!V33)</f>
        <v>#300</v>
      </c>
      <c r="Z32" s="244">
        <f>MATCH(Y32,AC$33:AC$50,0)</f>
        <v>15</v>
      </c>
      <c r="AB32" s="245" t="str">
        <f t="shared" si="0"/>
        <v>Cables AL</v>
      </c>
      <c r="AD32" s="244" t="s">
        <v>604</v>
      </c>
      <c r="AE32" s="244" t="s">
        <v>604</v>
      </c>
      <c r="AF32" s="244" t="s">
        <v>605</v>
      </c>
      <c r="AG32" s="244" t="s">
        <v>605</v>
      </c>
      <c r="AH32" s="287" t="s">
        <v>323</v>
      </c>
      <c r="AI32" s="287" t="s">
        <v>324</v>
      </c>
    </row>
    <row r="33" spans="11:35">
      <c r="V33" s="299" t="str">
        <f>Conduit!G54</f>
        <v>#300</v>
      </c>
      <c r="Y33" s="282"/>
      <c r="AA33" s="244">
        <v>1</v>
      </c>
      <c r="AB33" s="245">
        <f t="shared" si="0"/>
        <v>237</v>
      </c>
      <c r="AC33" s="244" t="s">
        <v>606</v>
      </c>
      <c r="AD33" s="244">
        <v>389</v>
      </c>
      <c r="AE33" s="244">
        <v>389</v>
      </c>
      <c r="AF33" s="244">
        <v>237</v>
      </c>
      <c r="AG33" s="244">
        <v>237</v>
      </c>
      <c r="AH33" s="207">
        <v>389</v>
      </c>
      <c r="AI33" s="207">
        <v>237</v>
      </c>
    </row>
    <row r="34" spans="11:35">
      <c r="V34" s="299" t="str">
        <f>'S-Sec Cable'!J18</f>
        <v>ERROR</v>
      </c>
      <c r="Y34" s="282"/>
      <c r="AA34" s="244">
        <v>2</v>
      </c>
      <c r="AB34" s="245">
        <f t="shared" si="0"/>
        <v>376</v>
      </c>
      <c r="AC34" s="244" t="s">
        <v>607</v>
      </c>
      <c r="AD34" s="244">
        <v>617</v>
      </c>
      <c r="AE34" s="244">
        <v>617</v>
      </c>
      <c r="AF34" s="244">
        <v>376</v>
      </c>
      <c r="AG34" s="244">
        <v>376</v>
      </c>
      <c r="AH34" s="207">
        <v>617</v>
      </c>
      <c r="AI34" s="207">
        <v>376</v>
      </c>
    </row>
    <row r="35" spans="11:35">
      <c r="K35" s="248" t="s">
        <v>53</v>
      </c>
      <c r="L35" s="248">
        <f>ROUND(H29/1000,1)</f>
        <v>16.600000000000001</v>
      </c>
      <c r="M35" s="248" t="s">
        <v>52</v>
      </c>
      <c r="N35" s="248" t="str">
        <f>CONCATENATE(K35,L35,M35)</f>
        <v xml:space="preserve"> 16.6 K</v>
      </c>
      <c r="Y35" s="282"/>
      <c r="AA35" s="244">
        <v>3</v>
      </c>
      <c r="AB35" s="245">
        <f t="shared" si="0"/>
        <v>599</v>
      </c>
      <c r="AC35" s="244" t="s">
        <v>379</v>
      </c>
      <c r="AD35" s="244">
        <v>981</v>
      </c>
      <c r="AE35" s="244">
        <v>982</v>
      </c>
      <c r="AF35" s="244">
        <v>599</v>
      </c>
      <c r="AG35" s="244">
        <v>599</v>
      </c>
      <c r="AH35" s="207">
        <v>982</v>
      </c>
      <c r="AI35" s="207">
        <v>599</v>
      </c>
    </row>
    <row r="36" spans="11:35">
      <c r="Y36" s="282"/>
      <c r="AA36" s="244">
        <v>4</v>
      </c>
      <c r="AB36" s="245">
        <f t="shared" si="0"/>
        <v>951</v>
      </c>
      <c r="AC36" s="244" t="s">
        <v>382</v>
      </c>
      <c r="AD36" s="244">
        <v>1557</v>
      </c>
      <c r="AE36" s="244">
        <v>1559</v>
      </c>
      <c r="AF36" s="244">
        <v>951</v>
      </c>
      <c r="AG36" s="244">
        <v>952</v>
      </c>
      <c r="AH36" s="207">
        <v>1560</v>
      </c>
      <c r="AI36" s="207">
        <v>952</v>
      </c>
    </row>
    <row r="37" spans="11:35">
      <c r="Y37" s="282"/>
      <c r="AA37" s="244">
        <v>5</v>
      </c>
      <c r="AB37" s="245">
        <f t="shared" si="0"/>
        <v>1481</v>
      </c>
      <c r="AC37" s="244" t="s">
        <v>322</v>
      </c>
      <c r="AD37" s="244">
        <v>2425</v>
      </c>
      <c r="AE37" s="244">
        <v>2430</v>
      </c>
      <c r="AF37" s="244">
        <v>1481</v>
      </c>
      <c r="AG37" s="244">
        <v>1482</v>
      </c>
      <c r="AH37" s="207">
        <v>2433</v>
      </c>
      <c r="AI37" s="207">
        <v>1482</v>
      </c>
    </row>
    <row r="38" spans="11:35">
      <c r="Y38" s="282"/>
      <c r="AA38" s="244">
        <v>6</v>
      </c>
      <c r="AB38" s="245">
        <f t="shared" si="0"/>
        <v>2346</v>
      </c>
      <c r="AC38" s="244" t="s">
        <v>325</v>
      </c>
      <c r="AD38" s="244">
        <v>3806</v>
      </c>
      <c r="AE38" s="244">
        <v>3826</v>
      </c>
      <c r="AF38" s="244">
        <v>2346</v>
      </c>
      <c r="AG38" s="244">
        <v>2350</v>
      </c>
      <c r="AH38" s="207">
        <v>3838</v>
      </c>
      <c r="AI38" s="207">
        <v>2353</v>
      </c>
    </row>
    <row r="39" spans="11:35">
      <c r="Y39" s="282"/>
      <c r="AA39" s="244">
        <v>7</v>
      </c>
      <c r="AB39" s="245">
        <f t="shared" si="0"/>
        <v>2952</v>
      </c>
      <c r="AC39" s="244" t="s">
        <v>327</v>
      </c>
      <c r="AD39" s="244">
        <v>4774</v>
      </c>
      <c r="AE39" s="244">
        <v>4811</v>
      </c>
      <c r="AF39" s="244">
        <v>2952</v>
      </c>
      <c r="AG39" s="244">
        <v>2961</v>
      </c>
      <c r="AH39" s="207">
        <v>4833</v>
      </c>
      <c r="AI39" s="207">
        <v>2966</v>
      </c>
    </row>
    <row r="40" spans="11:35">
      <c r="AA40" s="244">
        <v>8</v>
      </c>
      <c r="AB40" s="245">
        <f t="shared" si="0"/>
        <v>3713</v>
      </c>
      <c r="AC40" s="244" t="s">
        <v>326</v>
      </c>
      <c r="AD40" s="244">
        <v>5907</v>
      </c>
      <c r="AE40" s="244">
        <v>6044</v>
      </c>
      <c r="AF40" s="244">
        <v>3713</v>
      </c>
      <c r="AG40" s="244">
        <v>3730</v>
      </c>
      <c r="AH40" s="207">
        <v>6087</v>
      </c>
      <c r="AI40" s="207">
        <v>3740</v>
      </c>
    </row>
    <row r="41" spans="11:35">
      <c r="Z41" s="244">
        <f>Z32</f>
        <v>15</v>
      </c>
      <c r="AA41" s="244">
        <v>9</v>
      </c>
      <c r="AB41" s="245">
        <f t="shared" si="0"/>
        <v>4645</v>
      </c>
      <c r="AC41" s="244" t="s">
        <v>328</v>
      </c>
      <c r="AD41" s="244">
        <v>7293</v>
      </c>
      <c r="AE41" s="244">
        <v>7493</v>
      </c>
      <c r="AF41" s="244">
        <v>4645</v>
      </c>
      <c r="AG41" s="244">
        <v>4678</v>
      </c>
      <c r="AH41" s="207">
        <v>7579</v>
      </c>
      <c r="AI41" s="207">
        <v>4699</v>
      </c>
    </row>
    <row r="42" spans="11:35">
      <c r="X42" s="282"/>
      <c r="AA42" s="244">
        <v>10</v>
      </c>
      <c r="AB42" s="245">
        <f t="shared" si="0"/>
        <v>5777</v>
      </c>
      <c r="AC42" s="244" t="s">
        <v>329</v>
      </c>
      <c r="AD42" s="244">
        <v>8925</v>
      </c>
      <c r="AE42" s="244">
        <v>9317</v>
      </c>
      <c r="AF42" s="244">
        <v>5777</v>
      </c>
      <c r="AG42" s="244">
        <v>5838</v>
      </c>
      <c r="AH42" s="207">
        <v>9473</v>
      </c>
      <c r="AI42" s="207">
        <v>5876</v>
      </c>
    </row>
    <row r="43" spans="11:35">
      <c r="X43" s="247"/>
      <c r="Y43" s="247"/>
      <c r="AA43" s="244">
        <v>11</v>
      </c>
      <c r="AB43" s="245">
        <f t="shared" si="0"/>
        <v>7187</v>
      </c>
      <c r="AC43" s="244" t="s">
        <v>330</v>
      </c>
      <c r="AD43" s="244">
        <v>10755</v>
      </c>
      <c r="AE43" s="244">
        <v>11424</v>
      </c>
      <c r="AF43" s="244">
        <v>7187</v>
      </c>
      <c r="AG43" s="244">
        <v>7301</v>
      </c>
      <c r="AH43" s="207">
        <v>11703</v>
      </c>
      <c r="AI43" s="207">
        <v>7373</v>
      </c>
    </row>
    <row r="44" spans="11:35">
      <c r="X44" s="247"/>
      <c r="Y44" s="247"/>
      <c r="AA44" s="244">
        <v>12</v>
      </c>
      <c r="AB44" s="245">
        <f t="shared" si="0"/>
        <v>8826</v>
      </c>
      <c r="AC44" s="244" t="s">
        <v>333</v>
      </c>
      <c r="AD44" s="244">
        <v>12844</v>
      </c>
      <c r="AE44" s="244">
        <v>13923</v>
      </c>
      <c r="AF44" s="244">
        <v>8826</v>
      </c>
      <c r="AG44" s="244">
        <v>9110</v>
      </c>
      <c r="AH44" s="207">
        <v>14410</v>
      </c>
      <c r="AI44" s="207">
        <v>9243</v>
      </c>
    </row>
    <row r="45" spans="11:35">
      <c r="X45" s="247"/>
      <c r="Y45" s="247"/>
      <c r="AA45" s="244">
        <v>13</v>
      </c>
      <c r="AB45" s="245">
        <f t="shared" si="0"/>
        <v>10741</v>
      </c>
      <c r="AC45" s="244" t="s">
        <v>334</v>
      </c>
      <c r="AD45" s="244">
        <v>15082</v>
      </c>
      <c r="AE45" s="244">
        <v>16673</v>
      </c>
      <c r="AF45" s="244">
        <v>10741</v>
      </c>
      <c r="AG45" s="244">
        <v>11174</v>
      </c>
      <c r="AH45" s="207">
        <v>17438</v>
      </c>
      <c r="AI45" s="207">
        <v>11409</v>
      </c>
    </row>
    <row r="46" spans="11:35">
      <c r="X46" s="247"/>
      <c r="Y46" s="247"/>
      <c r="AA46" s="244">
        <v>14</v>
      </c>
      <c r="AB46" s="245">
        <f t="shared" si="0"/>
        <v>12122</v>
      </c>
      <c r="AC46" s="244" t="s">
        <v>336</v>
      </c>
      <c r="AD46" s="244">
        <v>16483</v>
      </c>
      <c r="AE46" s="244">
        <v>18594</v>
      </c>
      <c r="AF46" s="244">
        <v>12122</v>
      </c>
      <c r="AG46" s="244">
        <v>12862</v>
      </c>
      <c r="AH46" s="207">
        <v>19779</v>
      </c>
      <c r="AI46" s="207">
        <v>13236</v>
      </c>
    </row>
    <row r="47" spans="11:35">
      <c r="X47" s="247"/>
      <c r="Y47" s="247"/>
      <c r="Z47" s="247"/>
      <c r="AA47" s="244">
        <v>15</v>
      </c>
      <c r="AB47" s="245">
        <f t="shared" si="0"/>
        <v>13910</v>
      </c>
      <c r="AC47" s="244" t="s">
        <v>337</v>
      </c>
      <c r="AD47" s="244">
        <v>18177</v>
      </c>
      <c r="AE47" s="244">
        <v>20868</v>
      </c>
      <c r="AF47" s="244">
        <v>13910</v>
      </c>
      <c r="AG47" s="244">
        <v>14923</v>
      </c>
      <c r="AH47" s="207">
        <v>22525</v>
      </c>
      <c r="AI47" s="207">
        <v>15495</v>
      </c>
    </row>
    <row r="48" spans="11:35">
      <c r="AA48" s="244">
        <v>16</v>
      </c>
      <c r="AB48" s="245">
        <f t="shared" si="0"/>
        <v>15484</v>
      </c>
      <c r="AC48" s="244" t="s">
        <v>339</v>
      </c>
      <c r="AD48" s="244">
        <v>19704</v>
      </c>
      <c r="AE48" s="244">
        <v>22737</v>
      </c>
      <c r="AF48" s="244">
        <v>15484</v>
      </c>
      <c r="AG48" s="244">
        <v>16813</v>
      </c>
      <c r="AH48" s="207">
        <v>24904</v>
      </c>
      <c r="AI48" s="207">
        <v>17635</v>
      </c>
    </row>
    <row r="49" spans="24:35">
      <c r="X49" s="247"/>
      <c r="AA49" s="244">
        <v>17</v>
      </c>
      <c r="AB49" s="245">
        <f t="shared" si="0"/>
        <v>16671</v>
      </c>
      <c r="AC49" s="244" t="s">
        <v>340</v>
      </c>
      <c r="AD49" s="244">
        <v>20566</v>
      </c>
      <c r="AE49" s="244">
        <v>24297</v>
      </c>
      <c r="AF49" s="244">
        <v>16671</v>
      </c>
      <c r="AG49" s="244">
        <v>18506</v>
      </c>
      <c r="AH49" s="207">
        <v>26916</v>
      </c>
      <c r="AI49" s="207">
        <v>19588</v>
      </c>
    </row>
    <row r="50" spans="24:35">
      <c r="X50" s="247"/>
      <c r="Y50" s="247"/>
      <c r="AA50" s="244">
        <v>18</v>
      </c>
      <c r="AB50" s="245">
        <f t="shared" si="0"/>
        <v>18756</v>
      </c>
      <c r="AC50" s="244" t="s">
        <v>341</v>
      </c>
      <c r="AD50" s="244">
        <v>22185</v>
      </c>
      <c r="AE50" s="244">
        <v>26706</v>
      </c>
      <c r="AF50" s="244">
        <v>18756</v>
      </c>
      <c r="AG50" s="244">
        <v>21391</v>
      </c>
      <c r="AH50" s="207">
        <v>30096</v>
      </c>
      <c r="AI50" s="207">
        <v>23018</v>
      </c>
    </row>
    <row r="55" spans="24:35">
      <c r="AA55" s="244">
        <f>IF(ISNA(VLOOKUP(Z41,AA33:AB53,2)=TRUE),0,VLOOKUP(Z41,AA33:AB53,2))</f>
        <v>13910</v>
      </c>
      <c r="AB55" s="245" t="str">
        <f>IF(ISNA(VLOOKUP(Z41,AA33:AC53,3)=TRUE),0,VLOOKUP(Z41,AA33:AC53,3))</f>
        <v>#300</v>
      </c>
    </row>
    <row r="58" spans="24:35">
      <c r="AB58" s="244"/>
    </row>
    <row r="59" spans="24:35">
      <c r="Y59" s="282"/>
      <c r="AB59" s="244"/>
    </row>
    <row r="60" spans="24:35">
      <c r="Y60" s="282"/>
      <c r="AB60" s="244"/>
    </row>
    <row r="61" spans="24:35">
      <c r="Y61" s="282"/>
      <c r="AB61" s="244"/>
    </row>
    <row r="62" spans="24:35">
      <c r="AB62" s="244"/>
    </row>
    <row r="63" spans="24:35">
      <c r="AB63" s="244"/>
    </row>
    <row r="64" spans="24:35">
      <c r="AB64" s="244"/>
    </row>
    <row r="65" spans="28:29">
      <c r="AB65" s="244"/>
    </row>
    <row r="66" spans="28:29">
      <c r="AB66" s="244"/>
    </row>
    <row r="67" spans="28:29">
      <c r="AB67" s="244"/>
    </row>
    <row r="68" spans="28:29">
      <c r="AB68" s="244"/>
    </row>
    <row r="69" spans="28:29">
      <c r="AB69" s="244"/>
    </row>
    <row r="70" spans="28:29">
      <c r="AB70" s="244"/>
    </row>
    <row r="73" spans="28:29">
      <c r="AC73" s="290"/>
    </row>
    <row r="74" spans="28:29">
      <c r="AC74" s="245"/>
    </row>
    <row r="75" spans="28:29">
      <c r="AC75" s="291"/>
    </row>
    <row r="76" spans="28:29">
      <c r="AC76" s="245"/>
    </row>
    <row r="77" spans="28:29">
      <c r="AC77" s="292"/>
    </row>
    <row r="78" spans="28:29">
      <c r="AC78" s="292"/>
    </row>
    <row r="79" spans="28:29">
      <c r="AC79" s="292"/>
    </row>
    <row r="80" spans="28:29">
      <c r="AC80" s="292"/>
    </row>
    <row r="81" spans="28:29">
      <c r="AB81" s="292"/>
      <c r="AC81" s="245"/>
    </row>
    <row r="82" spans="28:29">
      <c r="AB82" s="292"/>
      <c r="AC82" s="245"/>
    </row>
    <row r="83" spans="28:29">
      <c r="AB83" s="292"/>
      <c r="AC83" s="245"/>
    </row>
    <row r="84" spans="28:29">
      <c r="AB84" s="292"/>
      <c r="AC84" s="245"/>
    </row>
    <row r="85" spans="28:29">
      <c r="AB85" s="292"/>
      <c r="AC85" s="245"/>
    </row>
    <row r="86" spans="28:29">
      <c r="AB86" s="292"/>
      <c r="AC86" s="245"/>
    </row>
    <row r="87" spans="28:29">
      <c r="AB87" s="292"/>
      <c r="AC87" s="245"/>
    </row>
    <row r="88" spans="28:29">
      <c r="AB88" s="292"/>
      <c r="AC88" s="245"/>
    </row>
    <row r="89" spans="28:29">
      <c r="AB89" s="292"/>
      <c r="AC89" s="245"/>
    </row>
    <row r="90" spans="28:29">
      <c r="AB90" s="292"/>
      <c r="AC90" s="245"/>
    </row>
    <row r="91" spans="28:29">
      <c r="AB91" s="292"/>
      <c r="AC91" s="245"/>
    </row>
    <row r="92" spans="28:29">
      <c r="AB92" s="292"/>
      <c r="AC92" s="245"/>
    </row>
    <row r="93" spans="28:29">
      <c r="AB93" s="292"/>
      <c r="AC93" s="245"/>
    </row>
    <row r="94" spans="28:29">
      <c r="AB94" s="292"/>
      <c r="AC94" s="245"/>
    </row>
    <row r="95" spans="28:29">
      <c r="AB95" s="292"/>
      <c r="AC95" s="245"/>
    </row>
    <row r="96" spans="28:29">
      <c r="AB96" s="292"/>
      <c r="AC96" s="245"/>
    </row>
    <row r="97" spans="28:29">
      <c r="AB97" s="292"/>
      <c r="AC97" s="245"/>
    </row>
    <row r="98" spans="28:29">
      <c r="AB98" s="292"/>
      <c r="AC98" s="245"/>
    </row>
    <row r="99" spans="28:29">
      <c r="AB99" s="292"/>
      <c r="AC99" s="245"/>
    </row>
    <row r="100" spans="28:29">
      <c r="AB100" s="292"/>
      <c r="AC100" s="245"/>
    </row>
  </sheetData>
  <phoneticPr fontId="6" type="noConversion"/>
  <conditionalFormatting sqref="AH30:AH50 AI30">
    <cfRule type="expression" dxfId="455" priority="1" stopIfTrue="1">
      <formula>IF(AB$29=5,TRUE,FALSE)</formula>
    </cfRule>
  </conditionalFormatting>
  <conditionalFormatting sqref="AI31:AI50">
    <cfRule type="expression" dxfId="454" priority="2" stopIfTrue="1">
      <formula>IF(AB$29=6,TRUE,FALSE)</formula>
    </cfRule>
  </conditionalFormatting>
  <conditionalFormatting sqref="H1">
    <cfRule type="expression" dxfId="453" priority="3" stopIfTrue="1">
      <formula>IF(I1="MANUAL",TRUE,FALSE)</formula>
    </cfRule>
  </conditionalFormatting>
  <conditionalFormatting sqref="G1">
    <cfRule type="expression" priority="4" stopIfTrue="1">
      <formula>IF(I1="AUTO",TRUE,FALSE)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A500"/>
  <sheetViews>
    <sheetView showOutlineSymbols="0" workbookViewId="0">
      <selection activeCell="C34" sqref="C34"/>
    </sheetView>
  </sheetViews>
  <sheetFormatPr defaultColWidth="0" defaultRowHeight="11.25" zeroHeight="1"/>
  <cols>
    <col min="1" max="1" width="1.7109375" style="179" customWidth="1"/>
    <col min="2" max="2" width="21.85546875" style="179" customWidth="1"/>
    <col min="3" max="3" width="18" style="179" customWidth="1"/>
    <col min="4" max="4" width="6" style="179" customWidth="1"/>
    <col min="5" max="5" width="12.140625" style="179" customWidth="1"/>
    <col min="6" max="6" width="3.42578125" style="179" customWidth="1"/>
    <col min="7" max="7" width="20.85546875" style="179" customWidth="1"/>
    <col min="8" max="8" width="14.42578125" style="179" customWidth="1"/>
    <col min="9" max="9" width="7.7109375" style="179" customWidth="1"/>
    <col min="10" max="10" width="11.5703125" style="179" customWidth="1"/>
    <col min="11" max="11" width="2.140625" style="179" customWidth="1"/>
    <col min="12" max="235" width="10.7109375" style="179" customWidth="1"/>
    <col min="236" max="16384" width="10.7109375" style="179" hidden="1"/>
  </cols>
  <sheetData>
    <row r="1" spans="2:70">
      <c r="E1" s="336"/>
      <c r="R1" s="179" t="s">
        <v>689</v>
      </c>
      <c r="S1" s="179">
        <f>Input!D10</f>
        <v>2014</v>
      </c>
    </row>
    <row r="2" spans="2:70">
      <c r="B2" s="337" t="s">
        <v>159</v>
      </c>
      <c r="F2" s="338"/>
      <c r="G2" s="339" t="s">
        <v>35</v>
      </c>
      <c r="H2" s="179" t="str">
        <f>IF(ISBLANK(Input!D4)=TRUE,"",Input!D4)</f>
        <v>SAMPLE PROJECT</v>
      </c>
      <c r="L2" s="319"/>
      <c r="M2" s="319">
        <f>IF(M6&gt;0,999,M4+M5)</f>
        <v>0</v>
      </c>
    </row>
    <row r="3" spans="2:70">
      <c r="B3" s="414" t="str">
        <f>IF(S1=2005,"BASED ON THE 2005 NEC SECTION 220.84",IF(S1=2008,"BASED ON THE 2008 NEC SECTION 220.84","BASED ON THE 2002 NEC SECTION 220.32"))</f>
        <v>BASED ON THE 2002 NEC SECTION 220.32</v>
      </c>
      <c r="C3" s="364"/>
      <c r="D3" s="364"/>
      <c r="E3" s="364"/>
      <c r="F3" s="415"/>
      <c r="G3" s="416" t="s">
        <v>639</v>
      </c>
      <c r="H3" s="364"/>
      <c r="I3" s="364"/>
      <c r="AX3" s="336">
        <f>J9</f>
        <v>54000</v>
      </c>
    </row>
    <row r="4" spans="2:70">
      <c r="B4" s="364" t="str">
        <f>IF(M2&gt;0,"CALCULATIONS WILL NOT DISPLAY UNTILL ALL ERRORS ARE CORRECTED","")</f>
        <v/>
      </c>
      <c r="C4" s="364"/>
      <c r="D4" s="364"/>
      <c r="E4" s="364"/>
      <c r="F4" s="364"/>
      <c r="G4" s="364"/>
      <c r="H4" s="364"/>
      <c r="I4" s="364"/>
      <c r="M4" s="319">
        <f>IF(M5&gt;0,0,Import!D39)</f>
        <v>0</v>
      </c>
      <c r="AX4" s="179">
        <f>AX3-3000</f>
        <v>51000</v>
      </c>
    </row>
    <row r="5" spans="2:70">
      <c r="B5" s="414" t="b">
        <f>IF(S1=2002,"CONNECTED LOADS - NEC 220.32",IF(S1=2005,"CONNECTED LOADS - NEC 220.84",IF(S1=2008,"CONNECTED LOADS - NEC 220.84")))</f>
        <v>0</v>
      </c>
      <c r="C5" s="364"/>
      <c r="D5" s="364"/>
      <c r="E5" s="364"/>
      <c r="F5" s="364"/>
      <c r="G5" s="414" t="str">
        <f>IF(S1&lt;&gt;2002,"NEUTRAL LOAD PER NEC 220.61","NEUTRAL LOAD PER NEC 220.22")</f>
        <v>NEUTRAL LOAD PER NEC 220.61</v>
      </c>
      <c r="H5" s="364"/>
      <c r="I5" s="364"/>
      <c r="M5" s="179">
        <f>Input!S87</f>
        <v>0</v>
      </c>
      <c r="AX5" s="336">
        <f>AX3-120000</f>
        <v>-66000</v>
      </c>
    </row>
    <row r="6" spans="2:70">
      <c r="B6" s="364" t="str">
        <f>Import!Q44</f>
        <v xml:space="preserve">TOTAL SQ FOOTAGE ( 9,000 SQ FT X 3 VA ) = </v>
      </c>
      <c r="C6" s="364"/>
      <c r="D6" s="340"/>
      <c r="E6" s="341">
        <f>Import!Q39</f>
        <v>27000</v>
      </c>
      <c r="F6" s="364"/>
      <c r="G6" s="364" t="str">
        <f>B6</f>
        <v xml:space="preserve">TOTAL SQ FOOTAGE ( 9,000 SQ FT X 3 VA ) = </v>
      </c>
      <c r="H6" s="340"/>
      <c r="I6" s="340"/>
      <c r="J6" s="336">
        <f>E6</f>
        <v>27000</v>
      </c>
      <c r="M6" s="179">
        <f>IF(ISERROR(Input!AI40)=TRUE,1,Input!AI40)</f>
        <v>0</v>
      </c>
      <c r="N6" s="179">
        <f>SUM(Input!R11:R13)</f>
        <v>0</v>
      </c>
    </row>
    <row r="7" spans="2:70">
      <c r="B7" s="364" t="str">
        <f>Import!R44</f>
        <v xml:space="preserve">APPLIANCE CIRCUITS ( 12 X 1,500 VA ) = </v>
      </c>
      <c r="C7" s="364"/>
      <c r="D7" s="340"/>
      <c r="E7" s="341">
        <f>Import!R39</f>
        <v>18000</v>
      </c>
      <c r="F7" s="364"/>
      <c r="G7" s="364" t="str">
        <f>B7</f>
        <v xml:space="preserve">APPLIANCE CIRCUITS ( 12 X 1,500 VA ) = </v>
      </c>
      <c r="H7" s="364"/>
      <c r="I7" s="340"/>
      <c r="J7" s="336">
        <f>E7</f>
        <v>18000</v>
      </c>
      <c r="AD7" s="179" t="s">
        <v>184</v>
      </c>
      <c r="AX7" s="336">
        <v>3500</v>
      </c>
    </row>
    <row r="8" spans="2:70">
      <c r="B8" s="364" t="str">
        <f>Import!S44</f>
        <v xml:space="preserve">LAUNDRY CIRCUITS ( 6 X 1,500 VA ) = </v>
      </c>
      <c r="C8" s="364"/>
      <c r="D8" s="340"/>
      <c r="E8" s="341">
        <f>Import!S39</f>
        <v>9000</v>
      </c>
      <c r="F8" s="364"/>
      <c r="G8" s="364" t="str">
        <f>B8</f>
        <v xml:space="preserve">LAUNDRY CIRCUITS ( 6 X 1,500 VA ) = </v>
      </c>
      <c r="H8" s="364"/>
      <c r="I8" s="340"/>
      <c r="J8" s="336">
        <f>E8</f>
        <v>9000</v>
      </c>
      <c r="AD8" s="179" t="s">
        <v>186</v>
      </c>
      <c r="AY8" s="240"/>
    </row>
    <row r="9" spans="2:70">
      <c r="B9" s="364" t="str">
        <f>IF(N6&gt;0,"",IF(M6&gt;0,"TEMPLATES NEED TO BE UPDATED",""))</f>
        <v/>
      </c>
      <c r="C9" s="364"/>
      <c r="D9" s="340"/>
      <c r="E9" s="341"/>
      <c r="F9" s="364"/>
      <c r="G9" s="364" t="s">
        <v>140</v>
      </c>
      <c r="H9" s="364"/>
      <c r="I9" s="364"/>
      <c r="J9" s="342">
        <f>SUM(J6:J8)</f>
        <v>54000</v>
      </c>
    </row>
    <row r="10" spans="2:70">
      <c r="B10" s="364" t="str">
        <f>IF(AN15="","",IF(AND(AN15=1,S1&lt;&gt;2002),"RANGES - NEC 220.84(A)(2) EXCEPTION","RANGES - NEC 220.32(A)(2) EXCEPTION"))</f>
        <v/>
      </c>
      <c r="C10" s="364"/>
      <c r="D10" s="340"/>
      <c r="E10" s="341"/>
      <c r="F10" s="364"/>
      <c r="G10" s="364"/>
      <c r="H10" s="364"/>
      <c r="I10" s="364"/>
      <c r="AD10" s="179" t="s">
        <v>197</v>
      </c>
      <c r="AE10" s="179">
        <f>Input!K4</f>
        <v>6</v>
      </c>
      <c r="AF10" s="179">
        <f>IF(Input!D11=1,AE10,CEILING(AE10/3,1)*2)</f>
        <v>4</v>
      </c>
    </row>
    <row r="11" spans="2:70">
      <c r="B11" s="364" t="str">
        <f>AN17</f>
        <v>RANGES ( 4 ON ANY 2 PHASES ) = 32,000 KVA</v>
      </c>
      <c r="C11" s="364"/>
      <c r="D11" s="340"/>
      <c r="E11" s="341" t="str">
        <f>IF(Input!D11=1,AF15,"")</f>
        <v/>
      </c>
      <c r="F11" s="364"/>
      <c r="G11" s="364" t="str">
        <f>BC12</f>
        <v xml:space="preserve">FIRST 3,000 VA @ 100% ( 3,000 VA X 1.00 ) = </v>
      </c>
      <c r="H11" s="364"/>
      <c r="I11" s="340"/>
      <c r="J11" s="336">
        <f>AX11</f>
        <v>3000</v>
      </c>
      <c r="N11" s="324" t="s">
        <v>148</v>
      </c>
      <c r="O11" s="179" t="s">
        <v>138</v>
      </c>
      <c r="R11" s="179" t="s">
        <v>147</v>
      </c>
      <c r="AD11" s="179" t="s">
        <v>131</v>
      </c>
      <c r="AE11" s="324">
        <f>Import!T38</f>
        <v>6</v>
      </c>
      <c r="AF11" s="324">
        <f>MAX(AE10:AE11)</f>
        <v>6</v>
      </c>
      <c r="AW11" s="179" t="s">
        <v>201</v>
      </c>
      <c r="AX11" s="179">
        <f>IF(OR(J9=3000,J9&gt;3000),3000,J9)</f>
        <v>3000</v>
      </c>
      <c r="AY11" s="179" t="s">
        <v>202</v>
      </c>
    </row>
    <row r="12" spans="2:70">
      <c r="B12" s="364" t="str">
        <f>IF(Input!D11=1,"",AN19)</f>
        <v>PER PHASE DEMAND ( 32,000 VA ÷ 2 ) = 16,000 VA</v>
      </c>
      <c r="C12" s="364"/>
      <c r="D12" s="340"/>
      <c r="E12" s="341"/>
      <c r="F12" s="364"/>
      <c r="G12" s="364" t="str">
        <f>BC15</f>
        <v xml:space="preserve">3,000-120,000 VA @ 35% ( 51,000 VA X 0.35 ) = </v>
      </c>
      <c r="H12" s="364"/>
      <c r="I12" s="340"/>
      <c r="J12" s="336">
        <f>BA14</f>
        <v>17850</v>
      </c>
      <c r="N12" s="343">
        <v>2</v>
      </c>
      <c r="O12" s="179" t="s">
        <v>139</v>
      </c>
      <c r="R12" s="179" t="s">
        <v>149</v>
      </c>
      <c r="AE12" s="324" t="str">
        <f>IF(OR(AE10=AE11,AE11&gt;AE10),"OK","EXCEPTION")</f>
        <v>OK</v>
      </c>
      <c r="AW12" s="179" t="s">
        <v>203</v>
      </c>
      <c r="AX12" s="240" t="str">
        <f>TEXT(AX11,"#,##0")</f>
        <v>3,000</v>
      </c>
      <c r="AY12" s="179" t="s">
        <v>202</v>
      </c>
      <c r="BC12" s="179" t="str">
        <f>CONCATENATE(AW12,AX12,AY12)</f>
        <v xml:space="preserve">FIRST 3,000 VA @ 100% ( 3,000 VA X 1.00 ) = </v>
      </c>
    </row>
    <row r="13" spans="2:70">
      <c r="B13" s="364" t="str">
        <f>IF(Input!D11=1,"",AN21)</f>
        <v xml:space="preserve">EQUIVALENT 3-PHASE LOAD ( 16,000 VA X 3 ) = </v>
      </c>
      <c r="C13" s="364"/>
      <c r="D13" s="340"/>
      <c r="E13" s="341">
        <f>AI20</f>
        <v>48000</v>
      </c>
      <c r="F13" s="364"/>
      <c r="G13" s="364" t="str">
        <f>BC18</f>
        <v xml:space="preserve">OVER 120,000 VA @ 25% ( 0 VA X 0.25 ) = </v>
      </c>
      <c r="H13" s="364"/>
      <c r="I13" s="340"/>
      <c r="J13" s="336">
        <f>BA17</f>
        <v>0</v>
      </c>
      <c r="N13" s="343">
        <v>1</v>
      </c>
      <c r="O13" s="179" t="s">
        <v>139</v>
      </c>
      <c r="R13" s="179" t="s">
        <v>150</v>
      </c>
      <c r="X13" s="179" t="s">
        <v>162</v>
      </c>
      <c r="Y13" s="179">
        <f>Input!K4</f>
        <v>6</v>
      </c>
      <c r="Z13" s="179">
        <v>1</v>
      </c>
      <c r="AA13" s="344">
        <v>1</v>
      </c>
      <c r="AE13" s="324"/>
    </row>
    <row r="14" spans="2:70">
      <c r="B14" s="364"/>
      <c r="C14" s="364"/>
      <c r="D14" s="340"/>
      <c r="E14" s="341"/>
      <c r="F14" s="364"/>
      <c r="G14" s="364" t="s">
        <v>143</v>
      </c>
      <c r="H14" s="364"/>
      <c r="I14" s="364"/>
      <c r="J14" s="342">
        <f>SUM(J11:J13)</f>
        <v>20850</v>
      </c>
      <c r="N14" s="343">
        <v>2</v>
      </c>
      <c r="O14" s="179" t="s">
        <v>137</v>
      </c>
      <c r="P14" s="179" t="s">
        <v>152</v>
      </c>
      <c r="Q14" s="179" t="s">
        <v>141</v>
      </c>
      <c r="R14" s="179" t="s">
        <v>151</v>
      </c>
      <c r="Z14" s="179">
        <v>2</v>
      </c>
      <c r="AA14" s="344">
        <v>1</v>
      </c>
      <c r="AE14" s="324"/>
      <c r="AW14" s="179" t="s">
        <v>204</v>
      </c>
      <c r="AX14" s="179">
        <f>IF(OR(AX4=0,AX4&lt;0),0,IF(AND(AX4&gt;0,OR(AX4=120000,AX4&lt;120000)),AX4,120000))</f>
        <v>51000</v>
      </c>
      <c r="AY14" s="179" t="s">
        <v>173</v>
      </c>
      <c r="BA14" s="179">
        <f>AX14*0.35</f>
        <v>17850</v>
      </c>
    </row>
    <row r="15" spans="2:70">
      <c r="B15" s="364"/>
      <c r="C15" s="364"/>
      <c r="D15" s="340"/>
      <c r="E15" s="341"/>
      <c r="F15" s="364"/>
      <c r="G15" s="364"/>
      <c r="H15" s="364"/>
      <c r="I15" s="364"/>
      <c r="N15" s="343">
        <v>1</v>
      </c>
      <c r="O15" s="179" t="s">
        <v>137</v>
      </c>
      <c r="P15" s="179" t="s">
        <v>154</v>
      </c>
      <c r="Q15" s="179" t="s">
        <v>141</v>
      </c>
      <c r="R15" s="179" t="s">
        <v>153</v>
      </c>
      <c r="Z15" s="179">
        <f>Z14+1</f>
        <v>3</v>
      </c>
      <c r="AA15" s="344">
        <v>0.45</v>
      </c>
      <c r="AE15" s="324"/>
      <c r="AF15" s="179">
        <f>IF(AE12="OK",Import!Z38*1000,AE10*8000)</f>
        <v>48000</v>
      </c>
      <c r="AN15" s="179" t="str">
        <f>IF(AE12="OK","",1)</f>
        <v/>
      </c>
      <c r="AW15" s="179" t="s">
        <v>204</v>
      </c>
      <c r="AX15" s="240" t="str">
        <f>TEXT(AX14,"#,##0")</f>
        <v>51,000</v>
      </c>
      <c r="AY15" s="179" t="s">
        <v>173</v>
      </c>
      <c r="BC15" s="179" t="str">
        <f>CONCATENATE(AW15,AX15,AY15)</f>
        <v xml:space="preserve">3,000-120,000 VA @ 35% ( 51,000 VA X 0.35 ) = </v>
      </c>
      <c r="BR15" s="179">
        <v>600</v>
      </c>
    </row>
    <row r="16" spans="2:70">
      <c r="B16" s="364" t="str">
        <f>AN31</f>
        <v>DRYERS ( 4 ON ANY 2 PHASES ) = 30,000 KVA</v>
      </c>
      <c r="C16" s="364"/>
      <c r="D16" s="340"/>
      <c r="E16" s="341" t="str">
        <f>IF(Input!D11=1,Import!AO38*1000,"")</f>
        <v/>
      </c>
      <c r="F16" s="364"/>
      <c r="G16" s="364" t="s">
        <v>691</v>
      </c>
      <c r="H16" s="364"/>
      <c r="I16" s="364"/>
      <c r="N16" s="343">
        <v>1</v>
      </c>
      <c r="O16" s="179" t="s">
        <v>137</v>
      </c>
      <c r="P16" s="179" t="s">
        <v>156</v>
      </c>
      <c r="Q16" s="179" t="s">
        <v>141</v>
      </c>
      <c r="R16" s="179" t="s">
        <v>155</v>
      </c>
      <c r="Z16" s="179">
        <f t="shared" ref="Z16:Z42" si="0">Z15+1</f>
        <v>4</v>
      </c>
      <c r="AA16" s="344">
        <v>0.45</v>
      </c>
      <c r="AE16" s="324"/>
      <c r="AL16" s="179">
        <f>AG17*8000</f>
        <v>32000</v>
      </c>
    </row>
    <row r="17" spans="2:72">
      <c r="B17" s="364" t="str">
        <f>IF(Input!D11=1,"",AN33)</f>
        <v>PER PHASE DEMAND ( 20,000 VA ÷ 2 ) = 10,000 VA</v>
      </c>
      <c r="C17" s="364"/>
      <c r="D17" s="340"/>
      <c r="E17" s="341"/>
      <c r="F17" s="364"/>
      <c r="G17" s="364" t="str">
        <f>IF(AND(Input!D11="3Y",S1&lt;&gt;2002),"PROHIBITED REDUCTION NEC 220.61(C)(1)",IF(AND(Input!D11="3Y",S1=2002),"PROHIBITED REDUCTION NEC 220.22",IF(S1&lt;&gt;2002,"TABLE 220.55 COLUMN C","TABLE 220.19 COLUMN C")))</f>
        <v>PROHIBITED REDUCTION NEC 220.61(C)(1)</v>
      </c>
      <c r="H17" s="364"/>
      <c r="I17" s="364"/>
      <c r="Z17" s="179">
        <f t="shared" si="0"/>
        <v>5</v>
      </c>
      <c r="AA17" s="344">
        <v>0.45</v>
      </c>
      <c r="AD17" s="179" t="s">
        <v>182</v>
      </c>
      <c r="AE17" s="324">
        <f>IF(AE12="OK",Import!T38,AE10)</f>
        <v>6</v>
      </c>
      <c r="AF17" s="179">
        <f>CEILING(AE17/3,1)*2</f>
        <v>4</v>
      </c>
      <c r="AG17" s="345">
        <f>IF(Input!D11=1,AE17,AF17)</f>
        <v>4</v>
      </c>
      <c r="AH17" s="179" t="s">
        <v>180</v>
      </c>
      <c r="AI17" s="179" t="str">
        <f>TEXT(AG17,"0")</f>
        <v>4</v>
      </c>
      <c r="AJ17" s="179" t="str">
        <f>IF(AND(Input!D11=1,AE12&lt;&gt;"OK")," RANGES X 8,000 VA ) = ",IF(AND(Input!D11=1,AE12="OK")," RANGES )"," ON ANY 2 PHASES ) = "))</f>
        <v xml:space="preserve"> ON ANY 2 PHASES ) = </v>
      </c>
      <c r="AL17" s="240" t="str">
        <f>IF(Input!D11=1,"",IF(AE12="OK",TEXT(Import!U45,"#,##0"),TEXT(AL16,"#,##0")))</f>
        <v>32,000</v>
      </c>
      <c r="AM17" s="179" t="str">
        <f>IF(Input!D11=1,""," KVA")</f>
        <v xml:space="preserve"> KVA</v>
      </c>
      <c r="AN17" s="179" t="str">
        <f>CONCATENATE(,AD17,AH17,AI17,AJ17,AL17,AM17)</f>
        <v>RANGES ( 4 ON ANY 2 PHASES ) = 32,000 KVA</v>
      </c>
      <c r="AW17" s="179" t="s">
        <v>206</v>
      </c>
      <c r="AX17" s="179">
        <f>IF(OR(AX5=0,AX5&lt;0),0,AX5)</f>
        <v>0</v>
      </c>
      <c r="AY17" s="179" t="s">
        <v>174</v>
      </c>
      <c r="BA17" s="179">
        <f>AX17*0.25</f>
        <v>0</v>
      </c>
    </row>
    <row r="18" spans="2:72">
      <c r="B18" s="364" t="str">
        <f>IF(Input!D11=1,"",AN35)</f>
        <v xml:space="preserve">EQUIVALENT 3-PHASE LOAD ( 10,000 VA X 3 ) = </v>
      </c>
      <c r="C18" s="364"/>
      <c r="D18" s="340"/>
      <c r="E18" s="341">
        <f>IF(Input!D11=1,"",AI34)</f>
        <v>30000</v>
      </c>
      <c r="F18" s="364"/>
      <c r="G18" s="364" t="str">
        <f>BF28</f>
        <v xml:space="preserve">100% OF TABLE 220.55 ( 21,000 VA X 1.00 ) = </v>
      </c>
      <c r="H18" s="364"/>
      <c r="I18" s="340"/>
      <c r="J18" s="336">
        <f>BG28</f>
        <v>21000</v>
      </c>
      <c r="Z18" s="179">
        <f t="shared" si="0"/>
        <v>6</v>
      </c>
      <c r="AA18" s="344">
        <v>0.44</v>
      </c>
      <c r="AD18" s="179" t="s">
        <v>179</v>
      </c>
      <c r="AE18" s="324"/>
      <c r="AF18" s="179">
        <f>IF(AE12="OK",Import!U45,AL16)</f>
        <v>32000</v>
      </c>
      <c r="AG18" s="179" t="s">
        <v>185</v>
      </c>
      <c r="AH18" s="179">
        <f>AF18/2</f>
        <v>16000</v>
      </c>
      <c r="AL18" s="240"/>
      <c r="AW18" s="179" t="s">
        <v>206</v>
      </c>
      <c r="AX18" s="240" t="str">
        <f>TEXT(AX17,"#,##0")</f>
        <v>0</v>
      </c>
      <c r="AY18" s="179" t="s">
        <v>174</v>
      </c>
      <c r="BC18" s="179" t="str">
        <f>CONCATENATE(AW18,AX18,AY18)</f>
        <v xml:space="preserve">OVER 120,000 VA @ 25% ( 0 VA X 0.25 ) = </v>
      </c>
    </row>
    <row r="19" spans="2:72">
      <c r="B19" s="364"/>
      <c r="C19" s="364"/>
      <c r="D19" s="340"/>
      <c r="E19" s="341"/>
      <c r="F19" s="364"/>
      <c r="G19" s="364"/>
      <c r="H19" s="364"/>
      <c r="I19" s="364"/>
      <c r="L19" s="364"/>
      <c r="Z19" s="179">
        <f t="shared" si="0"/>
        <v>7</v>
      </c>
      <c r="AA19" s="344">
        <v>0.44</v>
      </c>
      <c r="AD19" s="179" t="str">
        <f>AD18</f>
        <v xml:space="preserve">PER PHASE DEMAND ( </v>
      </c>
      <c r="AE19" s="324"/>
      <c r="AF19" s="240" t="str">
        <f>TEXT(AF18,"#,##0")</f>
        <v>32,000</v>
      </c>
      <c r="AG19" s="179" t="str">
        <f>AG18</f>
        <v xml:space="preserve"> VA ÷ 2 ) = </v>
      </c>
      <c r="AH19" s="240" t="str">
        <f>TEXT(AH18,"#,##0")</f>
        <v>16,000</v>
      </c>
      <c r="AI19" s="179" t="s">
        <v>170</v>
      </c>
      <c r="AL19" s="240"/>
      <c r="AN19" s="179" t="str">
        <f>CONCATENATE(AD19,AF19,AG19,AH19,AI19)</f>
        <v>PER PHASE DEMAND ( 32,000 VA ÷ 2 ) = 16,000 VA</v>
      </c>
    </row>
    <row r="20" spans="2:72">
      <c r="B20" s="364" t="s">
        <v>142</v>
      </c>
      <c r="C20" s="364"/>
      <c r="D20" s="340"/>
      <c r="E20" s="341">
        <f>Import!Y39</f>
        <v>15000</v>
      </c>
      <c r="F20" s="364"/>
      <c r="G20" s="18" t="s">
        <v>692</v>
      </c>
      <c r="H20" s="364"/>
      <c r="I20" s="364"/>
      <c r="Z20" s="179">
        <f t="shared" si="0"/>
        <v>8</v>
      </c>
      <c r="AA20" s="344">
        <v>0.43</v>
      </c>
      <c r="AD20" s="179" t="s">
        <v>172</v>
      </c>
      <c r="AE20" s="324"/>
      <c r="AG20" s="179">
        <f>AH18</f>
        <v>16000</v>
      </c>
      <c r="AH20" s="179" t="s">
        <v>187</v>
      </c>
      <c r="AI20" s="179">
        <f>IF(Input!D11=1,"",AG20*3)</f>
        <v>48000</v>
      </c>
      <c r="AL20" s="240"/>
    </row>
    <row r="21" spans="2:72">
      <c r="B21" s="364" t="s">
        <v>136</v>
      </c>
      <c r="C21" s="364"/>
      <c r="D21" s="340"/>
      <c r="E21" s="341">
        <f>Import!AH38</f>
        <v>7200</v>
      </c>
      <c r="F21" s="364"/>
      <c r="G21" s="417" t="str">
        <f>IF(AND(Input!D11="3Y",S1&lt;&gt;2002),"PROHIBITED REDUCTION NEC 220.61(C)(1)",IF(AND(Input!D11="3Y",S1=2002),"PROHIBITED REDUCTION NEC 220.22",IF(S1&lt;&gt;2002,"TABLE 220.54","TABLE 220.18")))</f>
        <v>PROHIBITED REDUCTION NEC 220.61(C)(1)</v>
      </c>
      <c r="H21" s="364"/>
      <c r="I21" s="364"/>
      <c r="Z21" s="179">
        <f t="shared" si="0"/>
        <v>9</v>
      </c>
      <c r="AA21" s="344">
        <v>0.43</v>
      </c>
      <c r="AD21" s="179" t="s">
        <v>172</v>
      </c>
      <c r="AE21" s="324"/>
      <c r="AF21" s="240"/>
      <c r="AG21" s="240" t="str">
        <f>TEXT(AG20,"#,##0")</f>
        <v>16,000</v>
      </c>
      <c r="AH21" s="179" t="s">
        <v>187</v>
      </c>
      <c r="AI21" s="240"/>
      <c r="AL21" s="240"/>
      <c r="AN21" s="179" t="str">
        <f>CONCATENATE(AD21,AG21,AH21,AI21,AJ21)</f>
        <v xml:space="preserve">EQUIVALENT 3-PHASE LOAD ( 16,000 VA X 3 ) = </v>
      </c>
      <c r="BM21" s="179" t="s">
        <v>613</v>
      </c>
      <c r="BP21" s="346">
        <f>E31</f>
        <v>218</v>
      </c>
      <c r="BR21" s="179">
        <f>BS21+0.00000001</f>
        <v>1E-8</v>
      </c>
      <c r="BS21" s="179">
        <v>0</v>
      </c>
      <c r="BT21" s="179">
        <v>100</v>
      </c>
    </row>
    <row r="22" spans="2:72">
      <c r="B22" s="364" t="str">
        <f>IF(Import!AD41&gt;0,Import!AI47,"LARGEST HEATING OR COOLING LOAD")</f>
        <v>LARGEST HEATING OR COOLING LOAD</v>
      </c>
      <c r="C22" s="364"/>
      <c r="D22" s="340"/>
      <c r="E22" s="341">
        <f>Import!AF41</f>
        <v>24000</v>
      </c>
      <c r="F22" s="364"/>
      <c r="G22" s="364" t="str">
        <f>BF30</f>
        <v xml:space="preserve">100% OF TABLE 220.54 ( 30,000 VA 0.75 VA X 1.00 ) = </v>
      </c>
      <c r="H22" s="364"/>
      <c r="I22" s="340"/>
      <c r="J22" s="336">
        <f>BG30</f>
        <v>22500</v>
      </c>
      <c r="N22" s="179" t="s">
        <v>136</v>
      </c>
      <c r="O22" s="336">
        <v>84139</v>
      </c>
      <c r="Z22" s="179">
        <f t="shared" si="0"/>
        <v>10</v>
      </c>
      <c r="AA22" s="344">
        <v>0.43</v>
      </c>
      <c r="AE22" s="324"/>
      <c r="AF22" s="240"/>
      <c r="AG22" s="240"/>
      <c r="AI22" s="240"/>
      <c r="AL22" s="240"/>
      <c r="AW22" s="179" t="s">
        <v>205</v>
      </c>
      <c r="BM22" s="179" t="s">
        <v>614</v>
      </c>
      <c r="BP22" s="179">
        <f>Input!D19</f>
        <v>100</v>
      </c>
      <c r="BR22" s="179">
        <f t="shared" ref="BR22:BR38" si="1">BS22+0.00000001</f>
        <v>100.00000000999999</v>
      </c>
      <c r="BS22" s="179">
        <v>100</v>
      </c>
      <c r="BT22" s="179">
        <v>125</v>
      </c>
    </row>
    <row r="23" spans="2:72">
      <c r="B23" s="364" t="s">
        <v>181</v>
      </c>
      <c r="C23" s="364"/>
      <c r="D23" s="340"/>
      <c r="E23" s="418">
        <f>SUM(E6:E22)</f>
        <v>178200</v>
      </c>
      <c r="F23" s="364"/>
      <c r="G23" s="364"/>
      <c r="H23" s="364"/>
      <c r="I23" s="364"/>
      <c r="Z23" s="179">
        <f t="shared" si="0"/>
        <v>11</v>
      </c>
      <c r="AA23" s="344">
        <v>0.42</v>
      </c>
      <c r="AE23" s="324"/>
      <c r="AF23" s="240"/>
      <c r="AG23" s="240"/>
      <c r="AI23" s="240"/>
      <c r="AL23" s="240"/>
      <c r="BR23" s="179">
        <f t="shared" si="1"/>
        <v>125.00000000999999</v>
      </c>
      <c r="BS23" s="179">
        <v>125</v>
      </c>
      <c r="BT23" s="179">
        <v>150</v>
      </c>
    </row>
    <row r="24" spans="2:72">
      <c r="B24" s="364"/>
      <c r="C24" s="364"/>
      <c r="D24" s="340"/>
      <c r="E24" s="341"/>
      <c r="F24" s="364"/>
      <c r="G24" s="364" t="s">
        <v>144</v>
      </c>
      <c r="H24" s="364"/>
      <c r="I24" s="364"/>
      <c r="J24" s="336">
        <f>Import!AR45</f>
        <v>2400</v>
      </c>
      <c r="N24" s="179" t="s">
        <v>129</v>
      </c>
      <c r="O24" s="336" t="str">
        <f>TEXT(E23,"#,##0")</f>
        <v>178,200</v>
      </c>
      <c r="P24" s="179">
        <f>O24/208/1.732</f>
        <v>494.64825013323861</v>
      </c>
      <c r="Z24" s="179">
        <f t="shared" si="0"/>
        <v>12</v>
      </c>
      <c r="AA24" s="344">
        <v>0.41</v>
      </c>
      <c r="AD24" s="179" t="s">
        <v>198</v>
      </c>
      <c r="AE24" s="324"/>
      <c r="AL24" s="240"/>
      <c r="BM24" s="179" t="s">
        <v>166</v>
      </c>
      <c r="BP24" s="346">
        <f>MAX(BP21:BP22)</f>
        <v>218</v>
      </c>
      <c r="BR24" s="179">
        <f t="shared" si="1"/>
        <v>150.00000001000001</v>
      </c>
      <c r="BS24" s="179">
        <v>150</v>
      </c>
      <c r="BT24" s="179">
        <v>175</v>
      </c>
    </row>
    <row r="25" spans="2:72">
      <c r="B25" s="364" t="str">
        <f>O36</f>
        <v>CONNECTED AMPS ( 178,200 VA ÷ 208 V ÷ 1.732 ) = 495 A</v>
      </c>
      <c r="C25" s="364"/>
      <c r="D25" s="340"/>
      <c r="E25" s="419"/>
      <c r="F25" s="364"/>
      <c r="G25" s="364"/>
      <c r="H25" s="364"/>
      <c r="I25" s="364"/>
      <c r="O25" s="179" t="s">
        <v>160</v>
      </c>
      <c r="Z25" s="179">
        <f t="shared" si="0"/>
        <v>13</v>
      </c>
      <c r="AA25" s="344">
        <v>0.41</v>
      </c>
      <c r="AL25" s="240"/>
      <c r="BR25" s="179">
        <f t="shared" si="1"/>
        <v>175.00000001000001</v>
      </c>
      <c r="BS25" s="179">
        <v>175</v>
      </c>
      <c r="BT25" s="179">
        <v>200</v>
      </c>
    </row>
    <row r="26" spans="2:72">
      <c r="B26" s="364" t="str">
        <f>AH57</f>
        <v>DEMAND FACTOR NEC TABLE 220.84 = 44%</v>
      </c>
      <c r="C26" s="364"/>
      <c r="D26" s="340"/>
      <c r="E26" s="420"/>
      <c r="F26" s="371"/>
      <c r="G26" s="364" t="s">
        <v>145</v>
      </c>
      <c r="H26" s="364"/>
      <c r="I26" s="364"/>
      <c r="J26" s="342">
        <f>SUM(J14:J25)</f>
        <v>66750</v>
      </c>
      <c r="O26" s="179">
        <f>Input!D12</f>
        <v>208</v>
      </c>
      <c r="Z26" s="179">
        <f t="shared" si="0"/>
        <v>14</v>
      </c>
      <c r="AA26" s="344">
        <v>0.4</v>
      </c>
      <c r="AE26" s="324"/>
      <c r="AF26" s="240"/>
      <c r="AG26" s="240"/>
      <c r="AI26" s="240"/>
      <c r="AL26" s="240"/>
      <c r="BR26" s="179">
        <f t="shared" si="1"/>
        <v>200.00000001000001</v>
      </c>
      <c r="BS26" s="179">
        <v>200</v>
      </c>
      <c r="BT26" s="179">
        <v>225</v>
      </c>
    </row>
    <row r="27" spans="2:72">
      <c r="B27" s="364" t="str">
        <f>AH63</f>
        <v>ADJUSTED AMPS (495 A X 0.44 ) =</v>
      </c>
      <c r="C27" s="364"/>
      <c r="D27" s="340"/>
      <c r="E27" s="421">
        <f>ROUND(AH62,0)</f>
        <v>218</v>
      </c>
      <c r="F27" s="371"/>
      <c r="G27" s="364"/>
      <c r="H27" s="364"/>
      <c r="I27" s="364"/>
      <c r="O27" s="179" t="s">
        <v>161</v>
      </c>
      <c r="Z27" s="179">
        <f t="shared" si="0"/>
        <v>15</v>
      </c>
      <c r="AA27" s="344">
        <v>0.4</v>
      </c>
      <c r="AE27" s="324"/>
      <c r="AF27" s="240"/>
      <c r="AG27" s="240"/>
      <c r="AI27" s="240"/>
      <c r="AL27" s="240"/>
      <c r="BR27" s="179">
        <f t="shared" si="1"/>
        <v>225.00000001000001</v>
      </c>
      <c r="BS27" s="179">
        <v>225</v>
      </c>
      <c r="BT27" s="179">
        <v>250</v>
      </c>
    </row>
    <row r="28" spans="2:72">
      <c r="B28" s="317" t="s">
        <v>801</v>
      </c>
      <c r="C28" s="317"/>
      <c r="D28" s="434"/>
      <c r="E28" s="435">
        <f>ROUND(MAX('Load Calcs'!E28:L28),0)</f>
        <v>0</v>
      </c>
      <c r="F28" s="371"/>
      <c r="G28" s="364" t="str">
        <f>BF32</f>
        <v xml:space="preserve">NEUTRAL LOAD ( 66,750 VA ÷ 1.732 ÷ 208 V ) = </v>
      </c>
      <c r="H28" s="364"/>
      <c r="I28" s="340"/>
      <c r="J28" s="346">
        <f>BH32</f>
        <v>185</v>
      </c>
      <c r="O28" s="179" t="str">
        <f>IF(Input!D11=1," =","÷ 1.732 ) = ")</f>
        <v xml:space="preserve">÷ 1.732 ) = </v>
      </c>
      <c r="Z28" s="179">
        <f t="shared" si="0"/>
        <v>16</v>
      </c>
      <c r="AA28" s="344">
        <v>0.39</v>
      </c>
      <c r="AE28" s="324"/>
      <c r="AF28" s="240"/>
      <c r="AG28" s="240"/>
      <c r="AI28" s="240"/>
      <c r="AL28" s="240"/>
      <c r="AW28" s="413" t="str">
        <f>IF(AND(Input!D11=1,S1&lt;&gt;2002),"70% OF TABLE 220.55 ( ",IF(AND(Input!D11=1,S1=2002),"70% OF TABLE 220.19 ( ",IF(S1&lt;&gt;2002,"100% OF TABLE 220.55 ( ","100% OF TABLE 220.19 ( ")))</f>
        <v xml:space="preserve">100% OF TABLE 220.55 ( </v>
      </c>
      <c r="AX28" s="179">
        <f>Tables!C14*1000</f>
        <v>21000</v>
      </c>
      <c r="BA28" s="179" t="str">
        <f>TEXT(AX28,"#,##0")</f>
        <v>21,000</v>
      </c>
      <c r="BC28" s="179" t="str">
        <f>IF(Input!D11=1," VA X 0.70 ) = "," VA X 1.00 ) = ")</f>
        <v xml:space="preserve"> VA X 1.00 ) = </v>
      </c>
      <c r="BF28" s="179" t="str">
        <f>CONCATENATE(AW28,BA28,BC28)</f>
        <v xml:space="preserve">100% OF TABLE 220.55 ( 21,000 VA X 1.00 ) = </v>
      </c>
      <c r="BG28" s="179">
        <f>IF(Input!D11=1,AX28*0.7,AX28)</f>
        <v>21000</v>
      </c>
      <c r="BR28" s="179">
        <f t="shared" si="1"/>
        <v>250.00000001000001</v>
      </c>
      <c r="BS28" s="179">
        <v>250</v>
      </c>
      <c r="BT28" s="179">
        <v>300</v>
      </c>
    </row>
    <row r="29" spans="2:72">
      <c r="B29" s="364" t="s">
        <v>143</v>
      </c>
      <c r="C29" s="364"/>
      <c r="D29" s="340"/>
      <c r="E29" s="422">
        <f>ROUND(SUM(E27:E28),0)</f>
        <v>218</v>
      </c>
      <c r="F29" s="371"/>
      <c r="G29" s="179" t="s">
        <v>805</v>
      </c>
      <c r="H29" s="364"/>
      <c r="I29" s="364"/>
      <c r="J29" s="346">
        <f>E28</f>
        <v>0</v>
      </c>
      <c r="O29" s="179" t="s">
        <v>180</v>
      </c>
      <c r="Z29" s="179">
        <f t="shared" si="0"/>
        <v>17</v>
      </c>
      <c r="AA29" s="344">
        <v>0.39</v>
      </c>
      <c r="AE29" s="324"/>
      <c r="AL29" s="240"/>
      <c r="BB29" s="179">
        <f>Tables!C54/100</f>
        <v>0.75</v>
      </c>
      <c r="BR29" s="179">
        <f t="shared" si="1"/>
        <v>300.00000001000001</v>
      </c>
      <c r="BS29" s="179">
        <v>300</v>
      </c>
      <c r="BT29" s="179">
        <v>400</v>
      </c>
    </row>
    <row r="30" spans="2:72">
      <c r="B30" s="364" t="str">
        <f>AH67</f>
        <v xml:space="preserve">FUTURE FACTOR ( 218 A X 0.00 ) = </v>
      </c>
      <c r="C30" s="364"/>
      <c r="D30" s="340"/>
      <c r="E30" s="421">
        <f>ROUND(AH66,0)</f>
        <v>0</v>
      </c>
      <c r="F30" s="371"/>
      <c r="G30" s="364" t="str">
        <f>IF(S1=2002,"FURTHER DEMAND FACTOR - NEC 220.22","FURTHER DEMAND FACTOR - NEC 220.61(B)(2)")</f>
        <v>FURTHER DEMAND FACTOR - NEC 220.61(B)(2)</v>
      </c>
      <c r="H30" s="364"/>
      <c r="I30" s="364"/>
      <c r="O30" s="179" t="str">
        <f>IF(Input!D11=1," )","")</f>
        <v/>
      </c>
      <c r="Z30" s="179">
        <f t="shared" si="0"/>
        <v>18</v>
      </c>
      <c r="AA30" s="344">
        <v>0.38</v>
      </c>
      <c r="AE30" s="324"/>
      <c r="AL30" s="240"/>
      <c r="AU30" s="179" t="str">
        <f>IF(Input!D11=1,"70% OF TABLE 220.54 ( ","100% OF TABLE 220.54 ( ")</f>
        <v xml:space="preserve">100% OF TABLE 220.54 ( </v>
      </c>
      <c r="AW30" s="413" t="str">
        <f>IF(AND(Input!D11=1,S1&lt;&gt;2002),"70% OF TABLE 220.54 ( ",IF(AND(Input!D11=1,S1=2002),"70% OF TABLE 220.18 ( ",IF(S1&lt;&gt;2002,"100% OF TABLE 220.54 ( ","100% OF TABLE 220.18 ( ")))</f>
        <v xml:space="preserve">100% OF TABLE 220.54 ( </v>
      </c>
      <c r="AX30" s="179">
        <f>Import!AO39</f>
        <v>30000</v>
      </c>
      <c r="BA30" s="179" t="str">
        <f>TEXT(AX30,"#,##0")</f>
        <v>30,000</v>
      </c>
      <c r="BB30" s="240" t="str">
        <f>TEXT(BB29,"0.00")</f>
        <v>0.75</v>
      </c>
      <c r="BC30" s="179" t="str">
        <f>IF(Input!D11=1," VA X 0.70 ) = "," VA X 1.00 ) = ")</f>
        <v xml:space="preserve"> VA X 1.00 ) = </v>
      </c>
      <c r="BD30" s="179" t="s">
        <v>245</v>
      </c>
      <c r="BF30" s="345" t="str">
        <f>CONCATENATE(AW30,BA30,BD30,BB30,BC30)</f>
        <v xml:space="preserve">100% OF TABLE 220.54 ( 30,000 VA 0.75 VA X 1.00 ) = </v>
      </c>
      <c r="BG30" s="179">
        <f>IF(Input!D11=1,AX30*0.7*BB29,AX30*BB29)</f>
        <v>22500</v>
      </c>
      <c r="BR30" s="179">
        <f t="shared" si="1"/>
        <v>400.00000001000001</v>
      </c>
      <c r="BS30" s="179">
        <v>400</v>
      </c>
      <c r="BT30" s="179">
        <v>600</v>
      </c>
    </row>
    <row r="31" spans="2:72">
      <c r="B31" s="364" t="s">
        <v>163</v>
      </c>
      <c r="C31" s="364"/>
      <c r="D31" s="340"/>
      <c r="E31" s="422">
        <f>ROUND(SUM(E29:E30),0)</f>
        <v>218</v>
      </c>
      <c r="F31" s="371"/>
      <c r="G31" s="364" t="str">
        <f>Q43</f>
        <v>FIRST 200 A @ 100% (185 A X 1.00 ) =</v>
      </c>
      <c r="H31" s="364"/>
      <c r="I31" s="364"/>
      <c r="J31" s="346">
        <f>IF(OR(SUM(J28:J29)=200,SUM(J28:J29)&gt;200),200,J28)</f>
        <v>185</v>
      </c>
      <c r="O31" s="179" t="s">
        <v>193</v>
      </c>
      <c r="Z31" s="179">
        <f t="shared" si="0"/>
        <v>19</v>
      </c>
      <c r="AA31" s="344">
        <v>0.38</v>
      </c>
      <c r="AD31" s="179" t="s">
        <v>183</v>
      </c>
      <c r="AE31" s="324">
        <f>Import!V38</f>
        <v>6</v>
      </c>
      <c r="AF31" s="179">
        <f>CEILING(AE31/3,1)*2</f>
        <v>4</v>
      </c>
      <c r="AG31" s="179">
        <f>IF(Input!D11=1,AE31,AF31)</f>
        <v>4</v>
      </c>
      <c r="AH31" s="179" t="s">
        <v>180</v>
      </c>
      <c r="AI31" s="179" t="str">
        <f>TEXT(AG31,"0")</f>
        <v>4</v>
      </c>
      <c r="AJ31" s="179" t="str">
        <f>IF(Input!D11=1," DRYERS )"," ON ANY 2 PHASES ) = ")</f>
        <v xml:space="preserve"> ON ANY 2 PHASES ) = </v>
      </c>
      <c r="AL31" s="240" t="str">
        <f>IF(Input!D11=1,"",TEXT(Import!AO38*1000,"#,##0"))</f>
        <v>30,000</v>
      </c>
      <c r="AM31" s="179" t="str">
        <f>IF(Input!D11=1,""," KVA")</f>
        <v xml:space="preserve"> KVA</v>
      </c>
      <c r="AN31" s="179" t="str">
        <f>CONCATENATE(,AD31,AH31,AI31,AJ31,AL31,AM31)</f>
        <v>DRYERS ( 4 ON ANY 2 PHASES ) = 30,000 KVA</v>
      </c>
      <c r="BR31" s="179">
        <f t="shared" si="1"/>
        <v>600.00000001000001</v>
      </c>
      <c r="BS31" s="179">
        <v>600</v>
      </c>
      <c r="BT31" s="179">
        <v>800</v>
      </c>
    </row>
    <row r="32" spans="2:72">
      <c r="B32" s="364"/>
      <c r="C32" s="364"/>
      <c r="D32" s="340"/>
      <c r="E32" s="423"/>
      <c r="F32" s="364"/>
      <c r="G32" s="364" t="str">
        <f>Q46</f>
        <v>REMAINDER @ 70% ( 0 A X 0.70 ) =</v>
      </c>
      <c r="H32" s="364"/>
      <c r="I32" s="364"/>
      <c r="J32" s="346">
        <f>IF(SUM(J28:J29)&gt;200,((SUM(J28:J29)-200)*0.7),0)</f>
        <v>0</v>
      </c>
      <c r="O32" s="179" t="str">
        <f>TEXT(O37,"#,##0")</f>
        <v>495</v>
      </c>
      <c r="Z32" s="179">
        <f t="shared" si="0"/>
        <v>20</v>
      </c>
      <c r="AA32" s="344">
        <v>0.38</v>
      </c>
      <c r="AD32" s="179" t="s">
        <v>179</v>
      </c>
      <c r="AE32" s="324"/>
      <c r="AF32" s="324">
        <f>Import!W45</f>
        <v>20000</v>
      </c>
      <c r="AG32" s="179" t="s">
        <v>185</v>
      </c>
      <c r="AH32" s="179">
        <f>AF32/2</f>
        <v>10000</v>
      </c>
      <c r="AL32" s="240"/>
      <c r="AW32" s="179" t="s">
        <v>246</v>
      </c>
      <c r="AX32" s="336">
        <f>J26</f>
        <v>66750</v>
      </c>
      <c r="BA32" s="179" t="str">
        <f>TEXT(AX32,"#,##0")</f>
        <v>66,750</v>
      </c>
      <c r="BC32" s="179" t="str">
        <f>IF(Input!D11=1," VA ÷ "," VA ÷ 1.732 ÷ ")</f>
        <v xml:space="preserve"> VA ÷ 1.732 ÷ </v>
      </c>
      <c r="BD32" s="179">
        <f>Input!D12</f>
        <v>208</v>
      </c>
      <c r="BE32" s="319" t="s">
        <v>247</v>
      </c>
      <c r="BF32" s="179" t="str">
        <f>CONCATENATE(AW32,BA32,BC32,BD32,BE32)</f>
        <v xml:space="preserve">NEUTRAL LOAD ( 66,750 VA ÷ 1.732 ÷ 208 V ) = </v>
      </c>
      <c r="BH32" s="349">
        <f>IF(Input!D11=1,ROUND((BA32/BD32),0),ROUND((BA32/1.732/BD32),0))</f>
        <v>185</v>
      </c>
      <c r="BR32" s="179">
        <f t="shared" si="1"/>
        <v>800.00000001000001</v>
      </c>
      <c r="BS32" s="179">
        <v>800</v>
      </c>
      <c r="BT32" s="179">
        <v>1000</v>
      </c>
    </row>
    <row r="33" spans="2:77">
      <c r="D33" s="240"/>
      <c r="E33" s="336"/>
      <c r="J33" s="346"/>
      <c r="O33" s="179" t="s">
        <v>194</v>
      </c>
      <c r="Z33" s="179">
        <f t="shared" si="0"/>
        <v>21</v>
      </c>
      <c r="AA33" s="344">
        <v>0.37</v>
      </c>
      <c r="AD33" s="179" t="str">
        <f>AD32</f>
        <v xml:space="preserve">PER PHASE DEMAND ( </v>
      </c>
      <c r="AE33" s="324"/>
      <c r="AF33" s="240" t="str">
        <f>TEXT(AF32,"#,##0")</f>
        <v>20,000</v>
      </c>
      <c r="AG33" s="179" t="str">
        <f>AG32</f>
        <v xml:space="preserve"> VA ÷ 2 ) = </v>
      </c>
      <c r="AH33" s="240" t="str">
        <f>TEXT(AH32,"#,##0")</f>
        <v>10,000</v>
      </c>
      <c r="AI33" s="179" t="s">
        <v>170</v>
      </c>
      <c r="AL33" s="240"/>
      <c r="AN33" s="179" t="str">
        <f>CONCATENATE(AD33,AF33,AG33,AH33,AI33)</f>
        <v>PER PHASE DEMAND ( 20,000 VA ÷ 2 ) = 10,000 VA</v>
      </c>
      <c r="BR33" s="179">
        <f t="shared" si="1"/>
        <v>1000.00000001</v>
      </c>
      <c r="BS33" s="179">
        <v>1000</v>
      </c>
      <c r="BT33" s="179">
        <v>1200</v>
      </c>
    </row>
    <row r="34" spans="2:77">
      <c r="D34" s="240"/>
      <c r="E34" s="336"/>
      <c r="G34" s="179" t="s">
        <v>146</v>
      </c>
      <c r="J34" s="348">
        <f>SUM(J31:J33)</f>
        <v>185</v>
      </c>
      <c r="Z34" s="179">
        <f t="shared" si="0"/>
        <v>22</v>
      </c>
      <c r="AA34" s="344">
        <v>0.36</v>
      </c>
      <c r="AD34" s="179" t="s">
        <v>172</v>
      </c>
      <c r="AE34" s="324"/>
      <c r="AG34" s="179">
        <f>AH32</f>
        <v>10000</v>
      </c>
      <c r="AH34" s="179" t="s">
        <v>187</v>
      </c>
      <c r="AI34" s="179">
        <f>IF(Input!D19=1,"",AG34*3)</f>
        <v>30000</v>
      </c>
      <c r="AL34" s="240"/>
      <c r="BR34" s="179">
        <f t="shared" si="1"/>
        <v>1200.0000000099999</v>
      </c>
      <c r="BS34" s="179">
        <v>1200</v>
      </c>
      <c r="BT34" s="179">
        <v>1600</v>
      </c>
    </row>
    <row r="35" spans="2:77">
      <c r="D35" s="240"/>
      <c r="E35" s="336"/>
      <c r="Z35" s="179">
        <f t="shared" si="0"/>
        <v>23</v>
      </c>
      <c r="AA35" s="344">
        <v>0.36</v>
      </c>
      <c r="AD35" s="179" t="s">
        <v>172</v>
      </c>
      <c r="AE35" s="324"/>
      <c r="AF35" s="240"/>
      <c r="AG35" s="240" t="str">
        <f>TEXT(AG34,"#,##0")</f>
        <v>10,000</v>
      </c>
      <c r="AH35" s="179" t="s">
        <v>187</v>
      </c>
      <c r="AI35" s="240"/>
      <c r="AL35" s="240"/>
      <c r="AN35" s="179" t="str">
        <f>CONCATENATE(AD35,AG35,AH35,AI35,AJ35)</f>
        <v xml:space="preserve">EQUIVALENT 3-PHASE LOAD ( 10,000 VA X 3 ) = </v>
      </c>
      <c r="BR35" s="179">
        <f t="shared" si="1"/>
        <v>1600.0000000099999</v>
      </c>
      <c r="BS35" s="179">
        <v>1600</v>
      </c>
      <c r="BT35" s="179">
        <v>2000</v>
      </c>
    </row>
    <row r="36" spans="2:77">
      <c r="E36" s="336"/>
      <c r="O36" s="179" t="str">
        <f>CONCATENATE(O31,O29,O23,O24,O25,O26,O27,O30,O28,O32,O33)</f>
        <v>CONNECTED AMPS ( 178,200 VA ÷ 208 V ÷ 1.732 ) = 495 A</v>
      </c>
      <c r="Z36" s="179">
        <f t="shared" si="0"/>
        <v>24</v>
      </c>
      <c r="AA36" s="344">
        <v>0.35</v>
      </c>
      <c r="BR36" s="179">
        <f t="shared" si="1"/>
        <v>2000.0000000099999</v>
      </c>
      <c r="BS36" s="179">
        <v>2000</v>
      </c>
      <c r="BT36" s="179">
        <v>2500</v>
      </c>
    </row>
    <row r="37" spans="2:77">
      <c r="D37" s="240"/>
      <c r="E37" s="336"/>
      <c r="G37" s="337" t="str">
        <f>IF(M37="MANUAL","",IF(Input!D25="NO"," ","VOLTAGE DROP CALCULATIONS"))</f>
        <v>VOLTAGE DROP CALCULATIONS</v>
      </c>
      <c r="M37" s="179" t="str">
        <f>Input!D33</f>
        <v>AUTO</v>
      </c>
      <c r="O37" s="179">
        <f>IF(Input!D11=1,ROUND((O24/O26),0),ROUND((O24/O26/1.732),0))</f>
        <v>495</v>
      </c>
      <c r="Z37" s="179">
        <f t="shared" si="0"/>
        <v>25</v>
      </c>
      <c r="AA37" s="344">
        <v>0.35</v>
      </c>
      <c r="BR37" s="179">
        <f t="shared" si="1"/>
        <v>2500.0000000099999</v>
      </c>
      <c r="BS37" s="179">
        <v>2500</v>
      </c>
      <c r="BT37" s="179">
        <v>3000</v>
      </c>
    </row>
    <row r="38" spans="2:77">
      <c r="D38" s="240"/>
      <c r="E38" s="336"/>
      <c r="G38" s="179" t="str">
        <f>IF(M37="MANUAL","",IF(Input!D25="NO"," ",IF(Input!D11=1,Conduit!AS116,Conduit!AS117)))</f>
        <v>( 2 X 50' L X 0.0707 R X 218.0 A ÷ 1,000 X 0.866 )  = 1.3 VD</v>
      </c>
      <c r="H38" s="344"/>
      <c r="Z38" s="179">
        <f t="shared" si="0"/>
        <v>26</v>
      </c>
      <c r="AA38" s="344">
        <v>0.34</v>
      </c>
      <c r="BR38" s="179">
        <f t="shared" si="1"/>
        <v>3000.0000000099999</v>
      </c>
      <c r="BS38" s="179">
        <v>3000</v>
      </c>
      <c r="BT38" s="179">
        <v>4000</v>
      </c>
    </row>
    <row r="39" spans="2:77">
      <c r="E39" s="336"/>
      <c r="G39" s="179" t="str">
        <f>IF(M37="MANUAL","",IF(Input!D25="NO"," ",IF(Input!D11=1,Conduit!AW116,Conduit!AW117)))</f>
        <v>( 1.3 VD ÷ 208 V X 100 ) = 0.6 % VD</v>
      </c>
      <c r="Z39" s="179">
        <f t="shared" si="0"/>
        <v>27</v>
      </c>
      <c r="AA39" s="344">
        <v>0.34</v>
      </c>
    </row>
    <row r="40" spans="2:77">
      <c r="B40" s="337" t="s">
        <v>641</v>
      </c>
      <c r="D40" s="240"/>
      <c r="E40" s="336"/>
      <c r="Z40" s="179">
        <f t="shared" si="0"/>
        <v>28</v>
      </c>
      <c r="AA40" s="344">
        <v>0.33</v>
      </c>
      <c r="BN40" s="319"/>
      <c r="BO40" s="179" t="s">
        <v>53</v>
      </c>
      <c r="BP40" s="179">
        <f>VLOOKUP(BP24,BR21:BT38,3)</f>
        <v>225</v>
      </c>
      <c r="BQ40" s="179" t="s">
        <v>615</v>
      </c>
      <c r="BR40" s="179" t="str">
        <f>IF(Input!D11=1,"2-P","3-P")</f>
        <v>3-P</v>
      </c>
    </row>
    <row r="41" spans="2:77">
      <c r="B41" s="179" t="str">
        <f>O57</f>
        <v>A - Amps</v>
      </c>
      <c r="E41" s="336"/>
      <c r="G41" s="337" t="str">
        <f>IF(Input!D26="NO","",IF(M37="MANUAL","FAULT CURRENT","FAULT CURRENT CALCULATIONS"))</f>
        <v>FAULT CURRENT CALCULATIONS</v>
      </c>
      <c r="Y41" s="346">
        <f>E25</f>
        <v>0</v>
      </c>
      <c r="Z41" s="179">
        <f t="shared" si="0"/>
        <v>29</v>
      </c>
      <c r="AA41" s="344">
        <v>0.33</v>
      </c>
      <c r="BN41" s="319"/>
      <c r="BO41" s="179" t="s">
        <v>53</v>
      </c>
      <c r="BP41" s="240" t="str">
        <f>TEXT(BP40,"###0")</f>
        <v>225</v>
      </c>
      <c r="BQ41" s="179" t="str">
        <f>BQ40</f>
        <v xml:space="preserve">A </v>
      </c>
      <c r="BR41" s="179" t="str">
        <f>BR40</f>
        <v>3-P</v>
      </c>
      <c r="BT41" s="179" t="str">
        <f>CONCATENATE(BO41,BP41,BQ41,BR41)</f>
        <v xml:space="preserve"> 225A 3-P</v>
      </c>
    </row>
    <row r="42" spans="2:77">
      <c r="B42" s="179" t="str">
        <f t="shared" ref="B42:B54" si="2">O58</f>
        <v>AFC - Available Fault Current</v>
      </c>
      <c r="E42" s="336"/>
      <c r="G42" s="179" t="str">
        <f>IF(Input!D26="NO","",IF(M37="MANUALF","FAULT CURRENT AT MAIN PANEL",Short!S4))</f>
        <v>(( 30,000 AFC X 1.10 UA ) + 0 MC ) = 33,000 AFC</v>
      </c>
      <c r="N42" s="179" t="s">
        <v>248</v>
      </c>
      <c r="O42" s="350">
        <f>J31</f>
        <v>185</v>
      </c>
      <c r="P42" s="179" t="s">
        <v>249</v>
      </c>
      <c r="Y42" s="179">
        <f>VLOOKUP(Y13,Z13:AA42,2)</f>
        <v>0.44</v>
      </c>
      <c r="Z42" s="179">
        <f t="shared" si="0"/>
        <v>30</v>
      </c>
      <c r="AA42" s="344">
        <v>0.33</v>
      </c>
      <c r="BN42" s="319"/>
    </row>
    <row r="43" spans="2:77">
      <c r="B43" s="179" t="str">
        <f t="shared" si="2"/>
        <v>C - Conductor Constance</v>
      </c>
      <c r="E43" s="336"/>
      <c r="G43" s="179" t="str">
        <f>IF(Input!D26="NO","",IF(M37="MANUAL","",Short!S22))</f>
        <v>( 1.732 X 50 L X 33,000 AFC  ) ÷ ( 13,910 C X 1 N X 208 V ) = 0.988 CF</v>
      </c>
      <c r="N43" s="179" t="s">
        <v>248</v>
      </c>
      <c r="O43" s="240" t="str">
        <f>TEXT(O42,"#,##0")</f>
        <v>185</v>
      </c>
      <c r="P43" s="179" t="s">
        <v>249</v>
      </c>
      <c r="Q43" s="179" t="str">
        <f>CONCATENATE(N43,O43,P43)</f>
        <v>FIRST 200 A @ 100% (185 A X 1.00 ) =</v>
      </c>
      <c r="Y43" s="179">
        <f>ROUND(Y41*Y42,0)</f>
        <v>0</v>
      </c>
      <c r="BN43" s="319"/>
    </row>
    <row r="44" spans="2:77">
      <c r="B44" s="179" t="str">
        <f t="shared" si="2"/>
        <v>CF - Conductor Factor</v>
      </c>
      <c r="E44" s="336"/>
      <c r="G44" s="179" t="str">
        <f>IF(Input!D26="NO","",IF(M37="MANUAL","",Short!S26))</f>
        <v xml:space="preserve">( 1 ) ÷ ( 1 + 0.988 CF ) = 0.503 CM </v>
      </c>
      <c r="X44" s="179" t="s">
        <v>180</v>
      </c>
      <c r="Y44" s="346" t="str">
        <f>TEXT(Y41,"#,#00")</f>
        <v>00</v>
      </c>
      <c r="BN44" s="319"/>
    </row>
    <row r="45" spans="2:77">
      <c r="B45" s="179" t="str">
        <f t="shared" si="2"/>
        <v>CLC - Conductor Let Through Current</v>
      </c>
      <c r="E45" s="336"/>
      <c r="G45" s="179" t="str">
        <f>IF(Input!D26="NO","",IF(M37="MANUAL","",Short!S30))</f>
        <v>( 33,000 AFC X 0.503 CM ) = 16,599 CLC</v>
      </c>
      <c r="N45" s="179" t="s">
        <v>250</v>
      </c>
      <c r="O45" s="350">
        <f>IF(SUM(J28:J29)-J31&lt;0,0,IF(SUM(J28:J29)-J31=0,0,SUM(J28:J29)-J31))</f>
        <v>0</v>
      </c>
      <c r="P45" s="179" t="s">
        <v>251</v>
      </c>
      <c r="X45" s="179" t="s">
        <v>178</v>
      </c>
      <c r="Y45" s="179" t="s">
        <v>164</v>
      </c>
      <c r="AB45" s="413" t="str">
        <f>IF(S1&lt;&gt;2002,"DEMAND FACTOR NEC TABLE 220.84 = ","DEMAND FACTOR NEC TABLE 220.32 = ")</f>
        <v xml:space="preserve">DEMAND FACTOR NEC TABLE 220.84 = </v>
      </c>
      <c r="AC45" s="413"/>
      <c r="AD45" s="413"/>
      <c r="BN45" s="319"/>
    </row>
    <row r="46" spans="2:77">
      <c r="B46" s="179" t="str">
        <f t="shared" si="2"/>
        <v>CM - Conductor Multiplier</v>
      </c>
      <c r="E46" s="336"/>
      <c r="N46" s="179" t="s">
        <v>250</v>
      </c>
      <c r="O46" s="240" t="str">
        <f>TEXT(O45,"#,##0")</f>
        <v>0</v>
      </c>
      <c r="P46" s="179" t="s">
        <v>251</v>
      </c>
      <c r="Q46" s="179" t="str">
        <f>CONCATENATE(N46,O46,P46)</f>
        <v>REMAINDER @ 70% ( 0 A X 0.70 ) =</v>
      </c>
      <c r="Y46" s="179" t="str">
        <f>TEXT(Y42,"0.00")</f>
        <v>0.44</v>
      </c>
      <c r="BN46" s="319"/>
    </row>
    <row r="47" spans="2:77">
      <c r="B47" s="179" t="str">
        <f t="shared" si="2"/>
        <v>L - Length</v>
      </c>
      <c r="E47" s="336"/>
      <c r="G47" s="337"/>
      <c r="Y47" s="179" t="s">
        <v>165</v>
      </c>
      <c r="BN47" s="319"/>
      <c r="BP47" s="179" t="str">
        <f>BP41</f>
        <v>225</v>
      </c>
      <c r="BQ47" s="179" t="str">
        <f>BQ41</f>
        <v xml:space="preserve">A </v>
      </c>
      <c r="BR47" s="179" t="s">
        <v>53</v>
      </c>
      <c r="BS47" s="179">
        <f>Input!D12</f>
        <v>208</v>
      </c>
      <c r="BT47" s="328" t="s">
        <v>5</v>
      </c>
      <c r="BU47" s="179">
        <f>Input!D13</f>
        <v>120</v>
      </c>
      <c r="BV47" s="179" t="s">
        <v>616</v>
      </c>
      <c r="BW47" s="179" t="str">
        <f>IF(Input!D11=1,"1-PHASE","3-PHASE")</f>
        <v>3-PHASE</v>
      </c>
      <c r="BY47" s="179" t="str">
        <f>CONCATENATE(BP47,BQ47,BR47,BS47,BT47,BU47,BV47,BW47)</f>
        <v>225A  208/120V 3-PHASE</v>
      </c>
    </row>
    <row r="48" spans="2:77">
      <c r="B48" s="179" t="str">
        <f t="shared" si="2"/>
        <v>MC - Motor Contribution</v>
      </c>
      <c r="E48" s="336"/>
      <c r="G48" s="351"/>
      <c r="H48" s="347"/>
      <c r="I48" s="347"/>
      <c r="J48" s="347"/>
      <c r="BN48" s="319"/>
    </row>
    <row r="49" spans="2:66">
      <c r="B49" s="179" t="str">
        <f t="shared" si="2"/>
        <v>N - Number of Conductors</v>
      </c>
      <c r="E49" s="336"/>
      <c r="G49" s="347"/>
      <c r="H49" s="347"/>
      <c r="I49" s="347"/>
      <c r="J49" s="347"/>
      <c r="O49" s="179">
        <f>IF(AND(N51="YES",N52="NO",N53="MANUAL"),5,IF(AND(N51="YES",N52="YES",N53="MANUAL"),5,0))</f>
        <v>0</v>
      </c>
      <c r="BN49" s="319"/>
    </row>
    <row r="50" spans="2:66">
      <c r="B50" s="179" t="str">
        <f t="shared" si="2"/>
        <v>R - Resistance</v>
      </c>
      <c r="E50" s="336"/>
      <c r="G50" s="352"/>
      <c r="H50" s="353"/>
      <c r="I50" s="347"/>
      <c r="J50" s="347"/>
      <c r="O50" s="179">
        <f>IF(AND(N51="YES",N52="YES",N53="AUTO"),1,IF(AND(N51="YES",N52="NO",N53="AUTO"),2,IF(AND(N51="NO",N52="NO"),3,0)))</f>
        <v>1</v>
      </c>
      <c r="Y50" s="179" t="str">
        <f>CONCATENATE(X44,Y44,Y45,Y46,X45,Y47)</f>
        <v xml:space="preserve">( 00 A X 0.44 ) = </v>
      </c>
      <c r="AB50" s="179" t="s">
        <v>195</v>
      </c>
      <c r="BN50" s="319"/>
    </row>
    <row r="51" spans="2:66">
      <c r="B51" s="179" t="str">
        <f t="shared" si="2"/>
        <v>UA - Utility Adjustment</v>
      </c>
      <c r="E51" s="336"/>
      <c r="G51" s="347"/>
      <c r="H51" s="353"/>
      <c r="I51" s="347"/>
      <c r="J51" s="347"/>
      <c r="M51" s="179" t="s">
        <v>109</v>
      </c>
      <c r="N51" s="179" t="str">
        <f>Input!D26</f>
        <v>YES</v>
      </c>
      <c r="O51" s="179">
        <f>IF(AND(N51="NO",N52="YES",N53="MANUAL"),3,IF(AND(N51="NO",N52="YES",N53="AUTO"),4,0))</f>
        <v>0</v>
      </c>
      <c r="AB51" s="179" t="s">
        <v>195</v>
      </c>
      <c r="BN51" s="319"/>
    </row>
    <row r="52" spans="2:66">
      <c r="B52" s="179" t="str">
        <f t="shared" si="2"/>
        <v>V - Volts</v>
      </c>
      <c r="E52" s="336"/>
      <c r="G52" s="347"/>
      <c r="H52" s="353"/>
      <c r="I52" s="347"/>
      <c r="J52" s="347"/>
      <c r="M52" s="179" t="s">
        <v>55</v>
      </c>
      <c r="N52" s="179" t="str">
        <f>Input!D25</f>
        <v>YES</v>
      </c>
      <c r="O52" s="179">
        <f>SUM(O49:O51)</f>
        <v>1</v>
      </c>
      <c r="P52" s="179" t="s">
        <v>656</v>
      </c>
      <c r="BN52" s="319"/>
    </row>
    <row r="53" spans="2:66">
      <c r="B53" s="179" t="str">
        <f t="shared" si="2"/>
        <v>VA - Volt Amps</v>
      </c>
      <c r="E53" s="336"/>
      <c r="G53" s="347"/>
      <c r="H53" s="347"/>
      <c r="I53" s="347"/>
      <c r="J53" s="347"/>
      <c r="M53" s="179" t="s">
        <v>657</v>
      </c>
      <c r="N53" s="179" t="str">
        <f>Input!D33</f>
        <v>AUTO</v>
      </c>
      <c r="S53" s="319"/>
      <c r="BN53" s="319"/>
    </row>
    <row r="54" spans="2:66">
      <c r="B54" s="179" t="str">
        <f t="shared" si="2"/>
        <v>VD - Voltage Drop</v>
      </c>
      <c r="E54" s="336"/>
      <c r="G54" s="354"/>
      <c r="H54" s="355"/>
      <c r="I54" s="353"/>
      <c r="J54" s="347"/>
      <c r="S54" s="319"/>
      <c r="BN54" s="319"/>
    </row>
    <row r="55" spans="2:66">
      <c r="E55" s="336"/>
      <c r="G55" s="355"/>
      <c r="H55" s="355"/>
      <c r="I55" s="356"/>
      <c r="J55" s="347"/>
      <c r="P55" s="179">
        <v>1</v>
      </c>
      <c r="Q55" s="179">
        <v>2</v>
      </c>
      <c r="R55" s="179">
        <v>3</v>
      </c>
      <c r="S55" s="179">
        <v>4</v>
      </c>
      <c r="T55" s="179">
        <v>5</v>
      </c>
      <c r="BN55" s="319"/>
    </row>
    <row r="56" spans="2:66">
      <c r="E56" s="336"/>
      <c r="G56" s="355"/>
      <c r="H56" s="355"/>
      <c r="I56" s="357"/>
      <c r="J56" s="347"/>
      <c r="BN56" s="319"/>
    </row>
    <row r="57" spans="2:66">
      <c r="E57" s="336"/>
      <c r="G57" s="355"/>
      <c r="H57" s="355"/>
      <c r="I57" s="358"/>
      <c r="J57" s="347"/>
      <c r="O57" s="179" t="str">
        <f>IF(O$52=1,P57,IF(O$52=2,Q57,IF(O$52=3,R57,IF(O$52=4,S57,IF(O$52=5,T57,99)))))</f>
        <v>A - Amps</v>
      </c>
      <c r="P57" s="179" t="s">
        <v>642</v>
      </c>
      <c r="Q57" s="179" t="s">
        <v>642</v>
      </c>
      <c r="R57" s="179" t="s">
        <v>642</v>
      </c>
      <c r="S57" s="179" t="s">
        <v>642</v>
      </c>
      <c r="T57" s="179" t="s">
        <v>642</v>
      </c>
      <c r="AF57" s="179">
        <f>Y42*100</f>
        <v>44</v>
      </c>
      <c r="AG57" s="179" t="s">
        <v>171</v>
      </c>
      <c r="AH57" s="179" t="str">
        <f>CONCATENATE(AB45,AF57,AG57)</f>
        <v>DEMAND FACTOR NEC TABLE 220.84 = 44%</v>
      </c>
      <c r="BN57" s="319"/>
    </row>
    <row r="58" spans="2:66">
      <c r="E58" s="336"/>
      <c r="G58" s="355"/>
      <c r="H58" s="355"/>
      <c r="I58" s="359"/>
      <c r="J58" s="347"/>
      <c r="O58" s="179" t="str">
        <f t="shared" ref="O58:O70" si="3">IF(O$52=1,P58,IF(O$52=2,Q58,IF(O$52=3,R58,IF(O$52=4,S58,IF(O$52=5,T58,99)))))</f>
        <v>AFC - Available Fault Current</v>
      </c>
      <c r="P58" s="179" t="s">
        <v>643</v>
      </c>
      <c r="Q58" s="179" t="s">
        <v>643</v>
      </c>
      <c r="R58" s="179" t="s">
        <v>654</v>
      </c>
      <c r="S58" s="179" t="s">
        <v>648</v>
      </c>
      <c r="T58" s="179" t="s">
        <v>643</v>
      </c>
      <c r="BN58" s="319"/>
    </row>
    <row r="59" spans="2:66">
      <c r="E59" s="336"/>
      <c r="G59" s="355"/>
      <c r="H59" s="355"/>
      <c r="I59" s="358"/>
      <c r="J59" s="347"/>
      <c r="O59" s="179" t="str">
        <f t="shared" si="3"/>
        <v>C - Conductor Constance</v>
      </c>
      <c r="P59" s="179" t="s">
        <v>644</v>
      </c>
      <c r="Q59" s="179" t="s">
        <v>644</v>
      </c>
      <c r="R59" s="179" t="s">
        <v>53</v>
      </c>
      <c r="S59" s="179" t="s">
        <v>651</v>
      </c>
      <c r="T59" s="179" t="s">
        <v>649</v>
      </c>
      <c r="BN59" s="319"/>
    </row>
    <row r="60" spans="2:66">
      <c r="E60" s="336"/>
      <c r="G60" s="355"/>
      <c r="H60" s="355"/>
      <c r="I60" s="358"/>
      <c r="J60" s="347"/>
      <c r="O60" s="179" t="str">
        <f t="shared" si="3"/>
        <v>CF - Conductor Factor</v>
      </c>
      <c r="P60" s="179" t="s">
        <v>645</v>
      </c>
      <c r="Q60" s="179" t="s">
        <v>645</v>
      </c>
      <c r="R60" s="179" t="s">
        <v>53</v>
      </c>
      <c r="S60" s="179" t="s">
        <v>654</v>
      </c>
      <c r="T60" s="179" t="s">
        <v>652</v>
      </c>
      <c r="BN60" s="319"/>
    </row>
    <row r="61" spans="2:66">
      <c r="G61" s="355"/>
      <c r="H61" s="355"/>
      <c r="I61" s="358"/>
      <c r="J61" s="347"/>
      <c r="O61" s="179" t="str">
        <f t="shared" si="3"/>
        <v>CLC - Conductor Let Through Current</v>
      </c>
      <c r="P61" s="179" t="s">
        <v>646</v>
      </c>
      <c r="Q61" s="179" t="s">
        <v>646</v>
      </c>
      <c r="R61" s="179" t="s">
        <v>53</v>
      </c>
      <c r="S61" s="179" t="s">
        <v>655</v>
      </c>
      <c r="T61" s="179" t="s">
        <v>654</v>
      </c>
      <c r="BN61" s="319"/>
    </row>
    <row r="62" spans="2:66">
      <c r="G62" s="355"/>
      <c r="H62" s="355"/>
      <c r="I62" s="353"/>
      <c r="J62" s="347"/>
      <c r="O62" s="179" t="str">
        <f t="shared" si="3"/>
        <v>CM - Conductor Multiplier</v>
      </c>
      <c r="P62" s="179" t="s">
        <v>647</v>
      </c>
      <c r="Q62" s="179" t="s">
        <v>647</v>
      </c>
      <c r="R62" s="179" t="s">
        <v>53</v>
      </c>
      <c r="S62" s="179" t="s">
        <v>53</v>
      </c>
      <c r="T62" s="179" t="s">
        <v>53</v>
      </c>
      <c r="AD62" s="179">
        <f>O37</f>
        <v>495</v>
      </c>
      <c r="AE62" s="179" t="s">
        <v>164</v>
      </c>
      <c r="AF62" s="179">
        <f>Y42</f>
        <v>0.44</v>
      </c>
      <c r="AG62" s="179" t="s">
        <v>196</v>
      </c>
      <c r="AH62" s="179">
        <f>ROUND(AD62*AF62,0)</f>
        <v>218</v>
      </c>
      <c r="BN62" s="319"/>
    </row>
    <row r="63" spans="2:66">
      <c r="G63" s="355"/>
      <c r="H63" s="355"/>
      <c r="I63" s="347"/>
      <c r="J63" s="347"/>
      <c r="O63" s="179" t="str">
        <f t="shared" si="3"/>
        <v>L - Length</v>
      </c>
      <c r="P63" s="179" t="s">
        <v>648</v>
      </c>
      <c r="Q63" s="179" t="s">
        <v>648</v>
      </c>
      <c r="R63" s="179" t="s">
        <v>53</v>
      </c>
      <c r="S63" s="179" t="s">
        <v>53</v>
      </c>
      <c r="T63" s="179" t="s">
        <v>53</v>
      </c>
      <c r="AD63" s="240" t="str">
        <f>TEXT(AD62,"#,##0")</f>
        <v>495</v>
      </c>
      <c r="AE63" s="179" t="s">
        <v>164</v>
      </c>
      <c r="AF63" s="240" t="str">
        <f>TEXT(AF62,"0.00")</f>
        <v>0.44</v>
      </c>
      <c r="AG63" s="179" t="s">
        <v>196</v>
      </c>
      <c r="AH63" s="179" t="str">
        <f>CONCATENATE(AB51,AD63,AE63,AF63,AG63)</f>
        <v>ADJUSTED AMPS (495 A X 0.44 ) =</v>
      </c>
      <c r="BN63" s="319"/>
    </row>
    <row r="64" spans="2:66">
      <c r="G64" s="355"/>
      <c r="H64" s="347"/>
      <c r="I64" s="347"/>
      <c r="J64" s="347"/>
      <c r="O64" s="179" t="str">
        <f t="shared" si="3"/>
        <v>MC - Motor Contribution</v>
      </c>
      <c r="P64" s="179" t="s">
        <v>649</v>
      </c>
      <c r="Q64" s="179" t="s">
        <v>649</v>
      </c>
      <c r="R64" s="179" t="s">
        <v>53</v>
      </c>
      <c r="S64" s="179" t="s">
        <v>53</v>
      </c>
      <c r="T64" s="179" t="s">
        <v>53</v>
      </c>
      <c r="BN64" s="319"/>
    </row>
    <row r="65" spans="2:66">
      <c r="G65" s="355"/>
      <c r="H65" s="347"/>
      <c r="I65" s="347"/>
      <c r="J65" s="347"/>
      <c r="O65" s="179" t="str">
        <f t="shared" si="3"/>
        <v>N - Number of Conductors</v>
      </c>
      <c r="P65" s="179" t="s">
        <v>650</v>
      </c>
      <c r="Q65" s="179" t="s">
        <v>650</v>
      </c>
      <c r="R65" s="179" t="s">
        <v>53</v>
      </c>
      <c r="S65" s="179" t="s">
        <v>53</v>
      </c>
      <c r="T65" s="179" t="s">
        <v>53</v>
      </c>
      <c r="BN65" s="319"/>
    </row>
    <row r="66" spans="2:66">
      <c r="G66" s="355"/>
      <c r="H66" s="353"/>
      <c r="I66" s="347"/>
      <c r="J66" s="347"/>
      <c r="O66" s="179" t="str">
        <f t="shared" si="3"/>
        <v>R - Resistance</v>
      </c>
      <c r="P66" s="179" t="s">
        <v>651</v>
      </c>
      <c r="Q66" s="179" t="s">
        <v>652</v>
      </c>
      <c r="R66" s="179" t="s">
        <v>53</v>
      </c>
      <c r="S66" s="179" t="s">
        <v>53</v>
      </c>
      <c r="T66" s="179" t="s">
        <v>53</v>
      </c>
      <c r="AB66" s="179" t="s">
        <v>640</v>
      </c>
      <c r="AD66" s="350">
        <f>E29</f>
        <v>218</v>
      </c>
      <c r="AE66" s="179" t="s">
        <v>164</v>
      </c>
      <c r="AF66" s="344">
        <f>ROUND(Input!D39/100,2)</f>
        <v>0</v>
      </c>
      <c r="AG66" s="179" t="s">
        <v>424</v>
      </c>
      <c r="AH66" s="179">
        <f>ROUND(AD66*AF66,0)</f>
        <v>0</v>
      </c>
      <c r="BN66" s="319"/>
    </row>
    <row r="67" spans="2:66">
      <c r="G67" s="355"/>
      <c r="H67" s="353"/>
      <c r="I67" s="347"/>
      <c r="J67" s="347"/>
      <c r="O67" s="179" t="str">
        <f t="shared" si="3"/>
        <v>UA - Utility Adjustment</v>
      </c>
      <c r="P67" s="179" t="s">
        <v>652</v>
      </c>
      <c r="Q67" s="179" t="s">
        <v>653</v>
      </c>
      <c r="R67" s="179" t="s">
        <v>53</v>
      </c>
      <c r="S67" s="179" t="s">
        <v>53</v>
      </c>
      <c r="T67" s="179" t="s">
        <v>53</v>
      </c>
      <c r="AB67" s="179" t="str">
        <f>AB66</f>
        <v xml:space="preserve">FUTURE FACTOR ( </v>
      </c>
      <c r="AD67" s="240" t="str">
        <f>TEXT(AD66,"#,##0")</f>
        <v>218</v>
      </c>
      <c r="AE67" s="179" t="str">
        <f>AE66</f>
        <v xml:space="preserve"> A X </v>
      </c>
      <c r="AF67" s="179" t="str">
        <f>TEXT(AF66,"0.00")</f>
        <v>0.00</v>
      </c>
      <c r="AG67" s="179" t="str">
        <f>AG66</f>
        <v xml:space="preserve"> ) = </v>
      </c>
      <c r="AH67" s="179" t="str">
        <f>CONCATENATE(AB67,AD67,AE67,AF67,AG67)</f>
        <v xml:space="preserve">FUTURE FACTOR ( 218 A X 0.00 ) = </v>
      </c>
      <c r="BN67" s="319"/>
    </row>
    <row r="68" spans="2:66">
      <c r="G68" s="355"/>
      <c r="H68" s="353"/>
      <c r="I68" s="347"/>
      <c r="J68" s="347"/>
      <c r="O68" s="179" t="str">
        <f t="shared" si="3"/>
        <v>V - Volts</v>
      </c>
      <c r="P68" s="179" t="s">
        <v>653</v>
      </c>
      <c r="Q68" s="179" t="s">
        <v>654</v>
      </c>
      <c r="R68" s="179" t="s">
        <v>53</v>
      </c>
      <c r="S68" s="179" t="s">
        <v>53</v>
      </c>
      <c r="T68" s="179" t="s">
        <v>53</v>
      </c>
      <c r="BN68" s="319"/>
    </row>
    <row r="69" spans="2:66">
      <c r="G69" s="355"/>
      <c r="H69" s="347"/>
      <c r="I69" s="347"/>
      <c r="J69" s="347"/>
      <c r="O69" s="179" t="str">
        <f t="shared" si="3"/>
        <v>VA - Volt Amps</v>
      </c>
      <c r="P69" s="179" t="s">
        <v>654</v>
      </c>
      <c r="Q69" s="179" t="s">
        <v>53</v>
      </c>
      <c r="R69" s="179" t="s">
        <v>53</v>
      </c>
      <c r="S69" s="179" t="s">
        <v>53</v>
      </c>
      <c r="T69" s="179" t="s">
        <v>53</v>
      </c>
      <c r="BN69" s="319"/>
    </row>
    <row r="70" spans="2:66">
      <c r="G70" s="355"/>
      <c r="H70" s="347"/>
      <c r="I70" s="347"/>
      <c r="J70" s="347"/>
      <c r="O70" s="179" t="str">
        <f t="shared" si="3"/>
        <v>VD - Voltage Drop</v>
      </c>
      <c r="P70" s="179" t="s">
        <v>655</v>
      </c>
      <c r="Q70" s="179" t="s">
        <v>53</v>
      </c>
      <c r="R70" s="179" t="s">
        <v>53</v>
      </c>
      <c r="S70" s="179" t="s">
        <v>53</v>
      </c>
      <c r="T70" s="179" t="s">
        <v>53</v>
      </c>
      <c r="AH70" s="179" t="str">
        <f>Input!D33</f>
        <v>AUTO</v>
      </c>
      <c r="BN70" s="319"/>
    </row>
    <row r="71" spans="2:66">
      <c r="G71" s="355"/>
      <c r="H71" s="347"/>
      <c r="I71" s="347"/>
      <c r="J71" s="347"/>
      <c r="BN71" s="319"/>
    </row>
    <row r="72" spans="2:66">
      <c r="G72" s="355"/>
      <c r="H72" s="347"/>
      <c r="I72" s="347"/>
      <c r="J72" s="347"/>
    </row>
    <row r="73" spans="2:66">
      <c r="G73" s="347"/>
      <c r="H73" s="347"/>
      <c r="I73" s="347"/>
      <c r="J73" s="347"/>
    </row>
    <row r="74" spans="2:66"/>
    <row r="75" spans="2:66"/>
    <row r="76" spans="2:66" ht="14.1" customHeight="1">
      <c r="B76" s="179" t="s">
        <v>693</v>
      </c>
    </row>
    <row r="77" spans="2:66" ht="14.1" customHeight="1"/>
    <row r="78" spans="2:66" ht="14.1" customHeight="1"/>
    <row r="79" spans="2:66" ht="14.1" customHeight="1"/>
    <row r="80" spans="2:66" ht="14.1" customHeight="1"/>
    <row r="81" spans="38:39" ht="14.1" customHeight="1"/>
    <row r="82" spans="38:39" ht="14.1" customHeight="1"/>
    <row r="83" spans="38:39" ht="14.1" customHeight="1"/>
    <row r="84" spans="38:39" ht="14.1" customHeight="1"/>
    <row r="85" spans="38:39" ht="14.1" customHeight="1"/>
    <row r="86" spans="38:39" ht="14.1" customHeight="1"/>
    <row r="87" spans="38:39" ht="14.1" customHeight="1"/>
    <row r="88" spans="38:39" ht="14.1" customHeight="1"/>
    <row r="89" spans="38:39" ht="14.1" customHeight="1"/>
    <row r="90" spans="38:39" ht="14.1" customHeight="1"/>
    <row r="91" spans="38:39" ht="14.1" customHeight="1"/>
    <row r="92" spans="38:39" ht="14.1" customHeight="1"/>
    <row r="93" spans="38:39" ht="14.1" customHeight="1"/>
    <row r="94" spans="38:39" ht="14.1" customHeight="1"/>
    <row r="95" spans="38:39" ht="14.1" customHeight="1"/>
    <row r="96" spans="38:39" ht="14.1" customHeight="1">
      <c r="AL96" s="360"/>
      <c r="AM96" s="360"/>
    </row>
    <row r="97" spans="32:32" ht="14.1" customHeight="1"/>
    <row r="98" spans="32:32" ht="14.1" customHeight="1"/>
    <row r="99" spans="32:32" ht="14.1" customHeight="1"/>
    <row r="100" spans="32:32" ht="14.1" customHeight="1"/>
    <row r="101" spans="32:32" ht="14.1" customHeight="1"/>
    <row r="102" spans="32:32" ht="14.1" customHeight="1"/>
    <row r="103" spans="32:32" ht="14.1" customHeight="1"/>
    <row r="104" spans="32:32" ht="14.1" customHeight="1">
      <c r="AF104" s="360"/>
    </row>
    <row r="105" spans="32:32" ht="14.1" customHeight="1">
      <c r="AF105" s="360"/>
    </row>
    <row r="106" spans="32:32" ht="14.1" customHeight="1"/>
    <row r="107" spans="32:32" ht="14.1" customHeight="1"/>
    <row r="108" spans="32:32" ht="14.1" customHeight="1"/>
    <row r="109" spans="32:32" ht="14.1" customHeight="1"/>
    <row r="110" spans="32:32" ht="14.1" customHeight="1"/>
    <row r="111" spans="32:32" ht="14.1" customHeight="1"/>
    <row r="112" spans="32:3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  <row r="401" ht="14.1" hidden="1" customHeight="1"/>
    <row r="402" ht="14.1" hidden="1" customHeight="1"/>
    <row r="403" ht="14.1" hidden="1" customHeight="1"/>
    <row r="404" ht="14.1" hidden="1" customHeight="1"/>
    <row r="405" ht="14.1" hidden="1" customHeight="1"/>
    <row r="406" ht="14.1" hidden="1" customHeight="1"/>
    <row r="407" ht="14.1" hidden="1" customHeight="1"/>
    <row r="408" ht="14.1" hidden="1" customHeight="1"/>
    <row r="409" ht="14.1" hidden="1" customHeight="1"/>
    <row r="410" ht="14.1" hidden="1" customHeight="1"/>
    <row r="411" ht="14.1" hidden="1" customHeight="1"/>
    <row r="412" ht="14.1" hidden="1" customHeight="1"/>
    <row r="413" ht="14.1" hidden="1" customHeight="1"/>
    <row r="414" ht="14.1" hidden="1" customHeight="1"/>
    <row r="415" ht="14.1" hidden="1" customHeight="1"/>
    <row r="416" ht="14.1" hidden="1" customHeight="1"/>
    <row r="417" ht="14.1" hidden="1" customHeight="1"/>
    <row r="418" ht="14.1" hidden="1" customHeight="1"/>
    <row r="419" ht="14.1" hidden="1" customHeight="1"/>
    <row r="420" ht="14.1" hidden="1" customHeight="1"/>
    <row r="421" ht="14.1" hidden="1" customHeight="1"/>
    <row r="422" ht="14.1" hidden="1" customHeight="1"/>
    <row r="423" ht="14.1" hidden="1" customHeight="1"/>
    <row r="424" ht="14.1" hidden="1" customHeight="1"/>
    <row r="425" ht="14.1" hidden="1" customHeight="1"/>
    <row r="426" ht="14.1" hidden="1" customHeight="1"/>
    <row r="427" ht="14.1" hidden="1" customHeight="1"/>
    <row r="428" ht="14.1" hidden="1" customHeight="1"/>
    <row r="429" ht="14.1" hidden="1" customHeight="1"/>
    <row r="430" ht="14.1" hidden="1" customHeight="1"/>
    <row r="431" ht="14.1" hidden="1" customHeight="1"/>
    <row r="432" ht="14.1" hidden="1" customHeight="1"/>
    <row r="433" ht="14.1" hidden="1" customHeight="1"/>
    <row r="434" ht="14.1" hidden="1" customHeight="1"/>
    <row r="435" ht="14.1" hidden="1" customHeight="1"/>
    <row r="436" ht="14.1" hidden="1" customHeight="1"/>
    <row r="437" ht="14.1" hidden="1" customHeight="1"/>
    <row r="438" ht="14.1" hidden="1" customHeight="1"/>
    <row r="439" ht="14.1" hidden="1" customHeight="1"/>
    <row r="440" ht="14.1" hidden="1" customHeight="1"/>
    <row r="441" ht="14.1" hidden="1" customHeight="1"/>
    <row r="442" ht="14.1" hidden="1" customHeight="1"/>
    <row r="443" ht="14.1" hidden="1" customHeight="1"/>
    <row r="444" ht="14.1" hidden="1" customHeight="1"/>
    <row r="445" ht="14.1" hidden="1" customHeight="1"/>
    <row r="446" ht="14.1" hidden="1" customHeight="1"/>
    <row r="447" ht="14.1" hidden="1" customHeight="1"/>
    <row r="448" ht="14.1" hidden="1" customHeight="1"/>
    <row r="449" ht="14.1" hidden="1" customHeight="1"/>
    <row r="450" ht="14.1" hidden="1" customHeight="1"/>
    <row r="451" ht="14.1" hidden="1" customHeight="1"/>
    <row r="452" ht="14.1" hidden="1" customHeight="1"/>
    <row r="453" ht="14.1" hidden="1" customHeight="1"/>
    <row r="454" ht="14.1" hidden="1" customHeight="1"/>
    <row r="455" ht="14.1" hidden="1" customHeight="1"/>
    <row r="456" ht="14.1" hidden="1" customHeight="1"/>
    <row r="457" ht="14.1" hidden="1" customHeight="1"/>
    <row r="458" ht="14.1" hidden="1" customHeight="1"/>
    <row r="459" ht="14.1" hidden="1" customHeight="1"/>
    <row r="460" ht="14.1" hidden="1" customHeight="1"/>
    <row r="461" ht="14.1" hidden="1" customHeight="1"/>
    <row r="462" ht="14.1" hidden="1" customHeight="1"/>
    <row r="463" ht="14.1" hidden="1" customHeight="1"/>
    <row r="464" ht="14.1" hidden="1" customHeight="1"/>
    <row r="465" ht="14.1" hidden="1" customHeight="1"/>
    <row r="466" ht="14.1" hidden="1" customHeight="1"/>
    <row r="467" ht="14.1" hidden="1" customHeight="1"/>
    <row r="468" ht="14.1" hidden="1" customHeight="1"/>
    <row r="469" ht="14.1" hidden="1" customHeight="1"/>
    <row r="470" ht="14.1" hidden="1" customHeight="1"/>
    <row r="471" ht="14.1" hidden="1" customHeight="1"/>
    <row r="472" ht="14.1" hidden="1" customHeight="1"/>
    <row r="473" ht="14.1" hidden="1" customHeight="1"/>
    <row r="474" ht="14.1" hidden="1" customHeight="1"/>
    <row r="475" ht="14.1" hidden="1" customHeight="1"/>
    <row r="476" ht="14.1" hidden="1" customHeight="1"/>
    <row r="477" ht="14.1" hidden="1" customHeight="1"/>
    <row r="478" ht="14.1" hidden="1" customHeight="1"/>
    <row r="479" ht="14.1" hidden="1" customHeight="1"/>
    <row r="480" ht="14.1" hidden="1" customHeight="1"/>
    <row r="481" ht="14.1" hidden="1" customHeight="1"/>
    <row r="482" ht="14.1" hidden="1" customHeight="1"/>
    <row r="483" ht="14.1" hidden="1" customHeight="1"/>
    <row r="484" ht="14.1" hidden="1" customHeight="1"/>
    <row r="485" ht="14.1" hidden="1" customHeight="1"/>
    <row r="486" ht="14.1" hidden="1" customHeight="1"/>
    <row r="487" ht="14.1" hidden="1" customHeight="1"/>
    <row r="488" ht="14.1" hidden="1" customHeight="1"/>
    <row r="489" ht="14.1" hidden="1" customHeight="1"/>
    <row r="490" ht="14.1" hidden="1" customHeight="1"/>
    <row r="491" ht="14.1" hidden="1" customHeight="1"/>
    <row r="492" ht="14.1" hidden="1" customHeight="1"/>
    <row r="493" ht="14.1" hidden="1" customHeight="1"/>
    <row r="494" ht="14.1" hidden="1" customHeight="1"/>
    <row r="495" ht="14.1" hidden="1" customHeight="1"/>
    <row r="496" ht="14.1" hidden="1" customHeight="1"/>
    <row r="497" ht="14.1" hidden="1" customHeight="1"/>
    <row r="498" ht="14.1" hidden="1" customHeight="1"/>
    <row r="499" ht="14.1" hidden="1" customHeight="1"/>
    <row r="500" ht="14.1" hidden="1" customHeight="1"/>
  </sheetData>
  <phoneticPr fontId="0" type="noConversion"/>
  <conditionalFormatting sqref="A1:A76 B10:B76 B1:B3 B5:B8 O54:O73 P57:P70 Q56:Q73 R57:V70 C1:K76">
    <cfRule type="expression" dxfId="452" priority="1" stopIfTrue="1">
      <formula>IF($M$2&gt;0,TRUE,FALSE)</formula>
    </cfRule>
  </conditionalFormatting>
  <conditionalFormatting sqref="B4">
    <cfRule type="expression" dxfId="451" priority="2" stopIfTrue="1">
      <formula>IF($M$2&gt;0,TRUE,FALSE)</formula>
    </cfRule>
  </conditionalFormatting>
  <conditionalFormatting sqref="B9">
    <cfRule type="expression" dxfId="450" priority="3" stopIfTrue="1">
      <formula>IF($M$6&gt;0,TRUE,FALSE)</formula>
    </cfRule>
  </conditionalFormatting>
  <pageMargins left="0.25" right="0.25" top="0.25" bottom="0.25" header="0" footer="0"/>
  <pageSetup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K166"/>
  <sheetViews>
    <sheetView workbookViewId="0">
      <selection activeCell="B2" sqref="B2"/>
    </sheetView>
  </sheetViews>
  <sheetFormatPr defaultRowHeight="9.9499999999999993" customHeight="1"/>
  <cols>
    <col min="1" max="1" width="4.28515625" style="1" customWidth="1"/>
    <col min="2" max="2" width="20.28515625" style="1" customWidth="1"/>
    <col min="3" max="3" width="14.140625" style="1" customWidth="1"/>
    <col min="4" max="4" width="11.85546875" style="1" customWidth="1"/>
    <col min="5" max="6" width="9.140625" style="1"/>
    <col min="7" max="7" width="12.42578125" style="1" customWidth="1"/>
    <col min="8" max="29" width="9.140625" style="1"/>
    <col min="30" max="30" width="13.140625" style="1" customWidth="1"/>
    <col min="31" max="16384" width="9.140625" style="1"/>
  </cols>
  <sheetData>
    <row r="1" spans="2:11" ht="9.9499999999999993" customHeight="1">
      <c r="D1" s="21"/>
      <c r="F1" s="24"/>
      <c r="G1" s="8" t="s">
        <v>207</v>
      </c>
      <c r="H1" s="25"/>
      <c r="I1" s="26"/>
    </row>
    <row r="2" spans="2:11" ht="9.9499999999999993" customHeight="1">
      <c r="D2" s="21"/>
      <c r="F2" s="24"/>
      <c r="G2" s="21"/>
      <c r="H2" s="25"/>
      <c r="I2" s="26"/>
    </row>
    <row r="3" spans="2:11" ht="9.9499999999999993" customHeight="1">
      <c r="D3" s="27" t="s">
        <v>123</v>
      </c>
      <c r="E3" s="28"/>
      <c r="F3" s="29"/>
      <c r="G3" s="27" t="s">
        <v>208</v>
      </c>
      <c r="H3" s="30"/>
      <c r="I3" s="31" t="s">
        <v>209</v>
      </c>
      <c r="J3" s="28"/>
      <c r="K3" s="32" t="s">
        <v>210</v>
      </c>
    </row>
    <row r="4" spans="2:11" ht="9.9499999999999993" customHeight="1">
      <c r="D4" s="20" t="s">
        <v>128</v>
      </c>
      <c r="F4" s="24"/>
      <c r="G4" s="20" t="s">
        <v>211</v>
      </c>
      <c r="H4" s="25"/>
      <c r="I4" s="33" t="s">
        <v>212</v>
      </c>
      <c r="K4" s="34" t="s">
        <v>213</v>
      </c>
    </row>
    <row r="5" spans="2:11" ht="9.9499999999999993" customHeight="1">
      <c r="D5" s="20" t="s">
        <v>214</v>
      </c>
      <c r="F5" s="24"/>
      <c r="G5" s="20" t="s">
        <v>215</v>
      </c>
      <c r="H5" s="25"/>
      <c r="I5" s="33" t="s">
        <v>215</v>
      </c>
      <c r="K5" s="34" t="s">
        <v>215</v>
      </c>
    </row>
    <row r="6" spans="2:11" ht="9.9499999999999993" customHeight="1">
      <c r="D6" s="20"/>
      <c r="F6" s="24"/>
      <c r="G6" s="20"/>
      <c r="H6" s="25"/>
      <c r="I6" s="33"/>
      <c r="K6" s="34"/>
    </row>
    <row r="7" spans="2:11" ht="9.9499999999999993" customHeight="1">
      <c r="D7" s="35"/>
      <c r="E7" s="36"/>
      <c r="F7" s="37"/>
      <c r="G7" s="35"/>
      <c r="H7" s="38"/>
      <c r="I7" s="39"/>
      <c r="J7" s="36"/>
      <c r="K7" s="40"/>
    </row>
    <row r="8" spans="2:11" ht="9.9499999999999993" customHeight="1">
      <c r="D8" s="20"/>
      <c r="F8" s="24"/>
      <c r="G8" s="20"/>
      <c r="H8" s="25"/>
      <c r="I8" s="33"/>
      <c r="K8" s="34"/>
    </row>
    <row r="9" spans="2:11" ht="9.9499999999999993" customHeight="1">
      <c r="C9" s="19"/>
      <c r="D9" s="20">
        <v>1</v>
      </c>
      <c r="E9" s="1">
        <v>1</v>
      </c>
      <c r="F9" s="24">
        <f t="shared" ref="F9:F33" si="0">IF($C$10=E9,G9,IF($C$10&gt;-99999,0))</f>
        <v>0</v>
      </c>
      <c r="G9" s="20">
        <v>8</v>
      </c>
      <c r="H9" s="25">
        <f t="shared" ref="H9:H33" si="1">IF($C$10=E9,(I9/100),IF($C$10&gt;-99999,0))</f>
        <v>0</v>
      </c>
      <c r="I9" s="33">
        <v>80</v>
      </c>
      <c r="J9" s="25">
        <f t="shared" ref="J9:J33" si="2">IF($C$10=E9,(K9/100),IF($C$10&gt;-99999,0))</f>
        <v>0</v>
      </c>
      <c r="K9" s="34">
        <v>80</v>
      </c>
    </row>
    <row r="10" spans="2:11" ht="9.9499999999999993" customHeight="1">
      <c r="B10" s="1" t="s">
        <v>216</v>
      </c>
      <c r="C10" s="41">
        <f>Calcs!AE17</f>
        <v>6</v>
      </c>
      <c r="D10" s="20">
        <f t="shared" ref="D10:D33" si="3">D9+1</f>
        <v>2</v>
      </c>
      <c r="E10" s="1">
        <v>2</v>
      </c>
      <c r="F10" s="24">
        <f t="shared" si="0"/>
        <v>0</v>
      </c>
      <c r="G10" s="20">
        <v>11</v>
      </c>
      <c r="H10" s="25">
        <f t="shared" si="1"/>
        <v>0</v>
      </c>
      <c r="I10" s="33">
        <v>75</v>
      </c>
      <c r="J10" s="25">
        <f t="shared" si="2"/>
        <v>0</v>
      </c>
      <c r="K10" s="34">
        <v>65</v>
      </c>
    </row>
    <row r="11" spans="2:11" ht="9.9499999999999993" customHeight="1">
      <c r="D11" s="20">
        <f t="shared" si="3"/>
        <v>3</v>
      </c>
      <c r="E11" s="1">
        <v>3</v>
      </c>
      <c r="F11" s="24">
        <f t="shared" si="0"/>
        <v>0</v>
      </c>
      <c r="G11" s="20">
        <v>14</v>
      </c>
      <c r="H11" s="25">
        <f t="shared" si="1"/>
        <v>0</v>
      </c>
      <c r="I11" s="33">
        <v>70</v>
      </c>
      <c r="J11" s="25">
        <f t="shared" si="2"/>
        <v>0</v>
      </c>
      <c r="K11" s="34">
        <v>55</v>
      </c>
    </row>
    <row r="12" spans="2:11" ht="9.9499999999999993" customHeight="1">
      <c r="B12" s="1" t="s">
        <v>217</v>
      </c>
      <c r="D12" s="20">
        <f t="shared" si="3"/>
        <v>4</v>
      </c>
      <c r="E12" s="1">
        <v>4</v>
      </c>
      <c r="F12" s="24">
        <f t="shared" si="0"/>
        <v>0</v>
      </c>
      <c r="G12" s="20">
        <v>17</v>
      </c>
      <c r="H12" s="25">
        <f t="shared" si="1"/>
        <v>0</v>
      </c>
      <c r="I12" s="33">
        <v>66</v>
      </c>
      <c r="J12" s="25">
        <f t="shared" si="2"/>
        <v>0</v>
      </c>
      <c r="K12" s="34">
        <v>50</v>
      </c>
    </row>
    <row r="13" spans="2:11" ht="9.9499999999999993" customHeight="1">
      <c r="B13" s="1" t="s">
        <v>218</v>
      </c>
      <c r="D13" s="20">
        <f t="shared" si="3"/>
        <v>5</v>
      </c>
      <c r="E13" s="1">
        <v>5</v>
      </c>
      <c r="F13" s="24">
        <f t="shared" si="0"/>
        <v>0</v>
      </c>
      <c r="G13" s="20">
        <v>20</v>
      </c>
      <c r="H13" s="25">
        <f t="shared" si="1"/>
        <v>0</v>
      </c>
      <c r="I13" s="33">
        <v>62</v>
      </c>
      <c r="J13" s="25">
        <f t="shared" si="2"/>
        <v>0</v>
      </c>
      <c r="K13" s="34">
        <v>45</v>
      </c>
    </row>
    <row r="14" spans="2:11" ht="9.9499999999999993" customHeight="1">
      <c r="B14" s="1" t="s">
        <v>219</v>
      </c>
      <c r="C14" s="42">
        <f>F41</f>
        <v>21</v>
      </c>
      <c r="D14" s="20">
        <f t="shared" si="3"/>
        <v>6</v>
      </c>
      <c r="E14" s="1">
        <v>6</v>
      </c>
      <c r="F14" s="24">
        <f t="shared" si="0"/>
        <v>21</v>
      </c>
      <c r="G14" s="20">
        <v>21</v>
      </c>
      <c r="H14" s="25">
        <f t="shared" si="1"/>
        <v>0.59</v>
      </c>
      <c r="I14" s="33">
        <v>59</v>
      </c>
      <c r="J14" s="25">
        <f t="shared" si="2"/>
        <v>0.43</v>
      </c>
      <c r="K14" s="34">
        <v>43</v>
      </c>
    </row>
    <row r="15" spans="2:11" ht="9.9499999999999993" customHeight="1">
      <c r="D15" s="20">
        <f t="shared" si="3"/>
        <v>7</v>
      </c>
      <c r="E15" s="1">
        <v>7</v>
      </c>
      <c r="F15" s="24">
        <f t="shared" si="0"/>
        <v>0</v>
      </c>
      <c r="G15" s="20">
        <v>22</v>
      </c>
      <c r="H15" s="25">
        <f t="shared" si="1"/>
        <v>0</v>
      </c>
      <c r="I15" s="33">
        <v>56</v>
      </c>
      <c r="J15" s="25">
        <f t="shared" si="2"/>
        <v>0</v>
      </c>
      <c r="K15" s="34">
        <v>40</v>
      </c>
    </row>
    <row r="16" spans="2:11" ht="9.9499999999999993" customHeight="1">
      <c r="B16" s="1" t="s">
        <v>220</v>
      </c>
      <c r="D16" s="20">
        <f t="shared" si="3"/>
        <v>8</v>
      </c>
      <c r="E16" s="1">
        <v>8</v>
      </c>
      <c r="F16" s="24">
        <f t="shared" si="0"/>
        <v>0</v>
      </c>
      <c r="G16" s="20">
        <v>23</v>
      </c>
      <c r="H16" s="25">
        <f t="shared" si="1"/>
        <v>0</v>
      </c>
      <c r="I16" s="33">
        <v>53</v>
      </c>
      <c r="J16" s="25">
        <f t="shared" si="2"/>
        <v>0</v>
      </c>
      <c r="K16" s="34">
        <v>36</v>
      </c>
    </row>
    <row r="17" spans="2:11" ht="9.9499999999999993" customHeight="1">
      <c r="B17" s="1" t="s">
        <v>221</v>
      </c>
      <c r="D17" s="20">
        <f t="shared" si="3"/>
        <v>9</v>
      </c>
      <c r="E17" s="1">
        <v>9</v>
      </c>
      <c r="F17" s="24">
        <f t="shared" si="0"/>
        <v>0</v>
      </c>
      <c r="G17" s="20">
        <v>24</v>
      </c>
      <c r="H17" s="25">
        <f t="shared" si="1"/>
        <v>0</v>
      </c>
      <c r="I17" s="33">
        <v>51</v>
      </c>
      <c r="J17" s="25">
        <f t="shared" si="2"/>
        <v>0</v>
      </c>
      <c r="K17" s="34">
        <v>35</v>
      </c>
    </row>
    <row r="18" spans="2:11" ht="9.9499999999999993" customHeight="1">
      <c r="B18" s="1" t="s">
        <v>169</v>
      </c>
      <c r="C18" s="43">
        <f>H41</f>
        <v>0.59</v>
      </c>
      <c r="D18" s="20">
        <f t="shared" si="3"/>
        <v>10</v>
      </c>
      <c r="E18" s="1">
        <v>10</v>
      </c>
      <c r="F18" s="24">
        <f t="shared" si="0"/>
        <v>0</v>
      </c>
      <c r="G18" s="20">
        <v>25</v>
      </c>
      <c r="H18" s="25">
        <f t="shared" si="1"/>
        <v>0</v>
      </c>
      <c r="I18" s="33">
        <v>49</v>
      </c>
      <c r="J18" s="25">
        <f t="shared" si="2"/>
        <v>0</v>
      </c>
      <c r="K18" s="34">
        <v>34</v>
      </c>
    </row>
    <row r="19" spans="2:11" ht="9.9499999999999993" customHeight="1">
      <c r="D19" s="20">
        <f t="shared" si="3"/>
        <v>11</v>
      </c>
      <c r="E19" s="1">
        <v>11</v>
      </c>
      <c r="F19" s="24">
        <f t="shared" si="0"/>
        <v>0</v>
      </c>
      <c r="G19" s="20">
        <v>26</v>
      </c>
      <c r="H19" s="25">
        <f t="shared" si="1"/>
        <v>0</v>
      </c>
      <c r="I19" s="33">
        <v>47</v>
      </c>
      <c r="J19" s="25">
        <f t="shared" si="2"/>
        <v>0</v>
      </c>
      <c r="K19" s="34">
        <v>32</v>
      </c>
    </row>
    <row r="20" spans="2:11" ht="9.9499999999999993" customHeight="1">
      <c r="B20" s="1" t="s">
        <v>220</v>
      </c>
      <c r="D20" s="20">
        <f t="shared" si="3"/>
        <v>12</v>
      </c>
      <c r="E20" s="1">
        <v>12</v>
      </c>
      <c r="F20" s="24">
        <f t="shared" si="0"/>
        <v>0</v>
      </c>
      <c r="G20" s="20">
        <v>27</v>
      </c>
      <c r="H20" s="25">
        <f t="shared" si="1"/>
        <v>0</v>
      </c>
      <c r="I20" s="33">
        <v>45</v>
      </c>
      <c r="J20" s="25">
        <f t="shared" si="2"/>
        <v>0</v>
      </c>
      <c r="K20" s="34">
        <v>32</v>
      </c>
    </row>
    <row r="21" spans="2:11" ht="9.9499999999999993" customHeight="1">
      <c r="B21" s="1" t="s">
        <v>222</v>
      </c>
      <c r="D21" s="20">
        <f t="shared" si="3"/>
        <v>13</v>
      </c>
      <c r="E21" s="1">
        <v>13</v>
      </c>
      <c r="F21" s="24">
        <f t="shared" si="0"/>
        <v>0</v>
      </c>
      <c r="G21" s="20">
        <v>28</v>
      </c>
      <c r="H21" s="25">
        <f t="shared" si="1"/>
        <v>0</v>
      </c>
      <c r="I21" s="33">
        <v>43</v>
      </c>
      <c r="J21" s="25">
        <f t="shared" si="2"/>
        <v>0</v>
      </c>
      <c r="K21" s="34">
        <v>32</v>
      </c>
    </row>
    <row r="22" spans="2:11" ht="9.9499999999999993" customHeight="1">
      <c r="B22" s="1" t="s">
        <v>169</v>
      </c>
      <c r="C22" s="43">
        <f>J41</f>
        <v>0.43</v>
      </c>
      <c r="D22" s="20">
        <f t="shared" si="3"/>
        <v>14</v>
      </c>
      <c r="E22" s="1">
        <v>14</v>
      </c>
      <c r="F22" s="24">
        <f t="shared" si="0"/>
        <v>0</v>
      </c>
      <c r="G22" s="20">
        <v>29</v>
      </c>
      <c r="H22" s="25">
        <f t="shared" si="1"/>
        <v>0</v>
      </c>
      <c r="I22" s="33">
        <v>41</v>
      </c>
      <c r="J22" s="25">
        <f t="shared" si="2"/>
        <v>0</v>
      </c>
      <c r="K22" s="34">
        <v>32</v>
      </c>
    </row>
    <row r="23" spans="2:11" ht="9.9499999999999993" customHeight="1">
      <c r="D23" s="20">
        <f t="shared" si="3"/>
        <v>15</v>
      </c>
      <c r="E23" s="1">
        <v>15</v>
      </c>
      <c r="F23" s="24">
        <f t="shared" si="0"/>
        <v>0</v>
      </c>
      <c r="G23" s="20">
        <v>30</v>
      </c>
      <c r="H23" s="25">
        <f t="shared" si="1"/>
        <v>0</v>
      </c>
      <c r="I23" s="33">
        <v>40</v>
      </c>
      <c r="J23" s="25">
        <f t="shared" si="2"/>
        <v>0</v>
      </c>
      <c r="K23" s="34">
        <v>32</v>
      </c>
    </row>
    <row r="24" spans="2:11" ht="9.9499999999999993" customHeight="1">
      <c r="D24" s="20">
        <f t="shared" si="3"/>
        <v>16</v>
      </c>
      <c r="E24" s="1">
        <v>16</v>
      </c>
      <c r="F24" s="24">
        <f t="shared" si="0"/>
        <v>0</v>
      </c>
      <c r="G24" s="20">
        <v>31</v>
      </c>
      <c r="H24" s="25">
        <f t="shared" si="1"/>
        <v>0</v>
      </c>
      <c r="I24" s="33">
        <v>39</v>
      </c>
      <c r="J24" s="25">
        <f t="shared" si="2"/>
        <v>0</v>
      </c>
      <c r="K24" s="34">
        <v>28</v>
      </c>
    </row>
    <row r="25" spans="2:11" ht="9.9499999999999993" customHeight="1">
      <c r="D25" s="20">
        <f t="shared" si="3"/>
        <v>17</v>
      </c>
      <c r="E25" s="1">
        <v>17</v>
      </c>
      <c r="F25" s="24">
        <f t="shared" si="0"/>
        <v>0</v>
      </c>
      <c r="G25" s="20">
        <v>32</v>
      </c>
      <c r="H25" s="25">
        <f t="shared" si="1"/>
        <v>0</v>
      </c>
      <c r="I25" s="33">
        <v>38</v>
      </c>
      <c r="J25" s="25">
        <f t="shared" si="2"/>
        <v>0</v>
      </c>
      <c r="K25" s="34">
        <v>28</v>
      </c>
    </row>
    <row r="26" spans="2:11" ht="9.9499999999999993" customHeight="1">
      <c r="D26" s="20">
        <f t="shared" si="3"/>
        <v>18</v>
      </c>
      <c r="E26" s="1">
        <v>18</v>
      </c>
      <c r="F26" s="24">
        <f t="shared" si="0"/>
        <v>0</v>
      </c>
      <c r="G26" s="20">
        <v>33</v>
      </c>
      <c r="H26" s="25">
        <f t="shared" si="1"/>
        <v>0</v>
      </c>
      <c r="I26" s="33">
        <v>37</v>
      </c>
      <c r="J26" s="25">
        <f t="shared" si="2"/>
        <v>0</v>
      </c>
      <c r="K26" s="34">
        <v>28</v>
      </c>
    </row>
    <row r="27" spans="2:11" ht="9.9499999999999993" customHeight="1">
      <c r="D27" s="20">
        <f t="shared" si="3"/>
        <v>19</v>
      </c>
      <c r="E27" s="1">
        <v>19</v>
      </c>
      <c r="F27" s="24">
        <f t="shared" si="0"/>
        <v>0</v>
      </c>
      <c r="G27" s="20">
        <v>34</v>
      </c>
      <c r="H27" s="25">
        <f t="shared" si="1"/>
        <v>0</v>
      </c>
      <c r="I27" s="33">
        <v>36</v>
      </c>
      <c r="J27" s="25">
        <f t="shared" si="2"/>
        <v>0</v>
      </c>
      <c r="K27" s="34">
        <v>28</v>
      </c>
    </row>
    <row r="28" spans="2:11" ht="9.9499999999999993" customHeight="1">
      <c r="D28" s="20">
        <f t="shared" si="3"/>
        <v>20</v>
      </c>
      <c r="E28" s="1">
        <v>20</v>
      </c>
      <c r="F28" s="24">
        <f t="shared" si="0"/>
        <v>0</v>
      </c>
      <c r="G28" s="20">
        <v>35</v>
      </c>
      <c r="H28" s="25">
        <f t="shared" si="1"/>
        <v>0</v>
      </c>
      <c r="I28" s="33">
        <v>35</v>
      </c>
      <c r="J28" s="25">
        <f t="shared" si="2"/>
        <v>0</v>
      </c>
      <c r="K28" s="34">
        <v>28</v>
      </c>
    </row>
    <row r="29" spans="2:11" ht="9.9499999999999993" customHeight="1">
      <c r="D29" s="20">
        <f t="shared" si="3"/>
        <v>21</v>
      </c>
      <c r="E29" s="1">
        <v>21</v>
      </c>
      <c r="F29" s="24">
        <f t="shared" si="0"/>
        <v>0</v>
      </c>
      <c r="G29" s="20">
        <v>36</v>
      </c>
      <c r="H29" s="25">
        <f t="shared" si="1"/>
        <v>0</v>
      </c>
      <c r="I29" s="33">
        <v>34</v>
      </c>
      <c r="J29" s="25">
        <f t="shared" si="2"/>
        <v>0</v>
      </c>
      <c r="K29" s="34">
        <v>26</v>
      </c>
    </row>
    <row r="30" spans="2:11" ht="9.9499999999999993" customHeight="1">
      <c r="D30" s="20">
        <f t="shared" si="3"/>
        <v>22</v>
      </c>
      <c r="E30" s="1">
        <v>22</v>
      </c>
      <c r="F30" s="24">
        <f t="shared" si="0"/>
        <v>0</v>
      </c>
      <c r="G30" s="20">
        <v>37</v>
      </c>
      <c r="H30" s="25">
        <f t="shared" si="1"/>
        <v>0</v>
      </c>
      <c r="I30" s="33">
        <v>33</v>
      </c>
      <c r="J30" s="25">
        <f t="shared" si="2"/>
        <v>0</v>
      </c>
      <c r="K30" s="34">
        <v>26</v>
      </c>
    </row>
    <row r="31" spans="2:11" ht="9.9499999999999993" customHeight="1">
      <c r="D31" s="20">
        <f t="shared" si="3"/>
        <v>23</v>
      </c>
      <c r="E31" s="1">
        <v>23</v>
      </c>
      <c r="F31" s="24">
        <f t="shared" si="0"/>
        <v>0</v>
      </c>
      <c r="G31" s="20">
        <v>38</v>
      </c>
      <c r="H31" s="25">
        <f t="shared" si="1"/>
        <v>0</v>
      </c>
      <c r="I31" s="33">
        <v>32</v>
      </c>
      <c r="J31" s="25">
        <f t="shared" si="2"/>
        <v>0</v>
      </c>
      <c r="K31" s="34">
        <v>26</v>
      </c>
    </row>
    <row r="32" spans="2:11" ht="9.9499999999999993" customHeight="1">
      <c r="D32" s="20">
        <f t="shared" si="3"/>
        <v>24</v>
      </c>
      <c r="E32" s="1">
        <v>24</v>
      </c>
      <c r="F32" s="24">
        <f t="shared" si="0"/>
        <v>0</v>
      </c>
      <c r="G32" s="20">
        <v>39</v>
      </c>
      <c r="H32" s="25">
        <f t="shared" si="1"/>
        <v>0</v>
      </c>
      <c r="I32" s="33">
        <v>31</v>
      </c>
      <c r="J32" s="25">
        <f t="shared" si="2"/>
        <v>0</v>
      </c>
      <c r="K32" s="34">
        <v>26</v>
      </c>
    </row>
    <row r="33" spans="4:11" ht="9.9499999999999993" customHeight="1">
      <c r="D33" s="20">
        <f t="shared" si="3"/>
        <v>25</v>
      </c>
      <c r="E33" s="1">
        <v>25</v>
      </c>
      <c r="F33" s="24">
        <f t="shared" si="0"/>
        <v>0</v>
      </c>
      <c r="G33" s="20">
        <v>40</v>
      </c>
      <c r="H33" s="25">
        <f t="shared" si="1"/>
        <v>0</v>
      </c>
      <c r="I33" s="33">
        <v>30</v>
      </c>
      <c r="J33" s="25">
        <f t="shared" si="2"/>
        <v>0</v>
      </c>
      <c r="K33" s="34">
        <v>26</v>
      </c>
    </row>
    <row r="34" spans="4:11" ht="9.9499999999999993" customHeight="1">
      <c r="D34" s="20" t="s">
        <v>223</v>
      </c>
      <c r="E34" s="1">
        <v>26</v>
      </c>
      <c r="F34" s="24">
        <f>IF(AND($C$10&gt;25,$C$10&lt;41)=TRUE,(15+($C$10*1)),IF(AND($C$10&gt;25,$C$10&lt;41)=FALSE,0))</f>
        <v>0</v>
      </c>
      <c r="G34" s="20" t="s">
        <v>224</v>
      </c>
      <c r="H34" s="25">
        <f>IF($C$10&gt;25,I34/100,IF($C$10&gt;-99999,0))</f>
        <v>0</v>
      </c>
      <c r="I34" s="33">
        <v>30</v>
      </c>
      <c r="J34" s="25">
        <f>IF(AND($C$10&gt;25,$C$10&lt;31)=TRUE,(K34/100),IF($C$10&gt;-99999,0))</f>
        <v>0</v>
      </c>
      <c r="K34" s="34">
        <v>24</v>
      </c>
    </row>
    <row r="35" spans="4:11" ht="9.9499999999999993" customHeight="1">
      <c r="D35" s="20" t="s">
        <v>225</v>
      </c>
      <c r="E35" s="1">
        <v>31</v>
      </c>
      <c r="F35" s="24"/>
      <c r="G35" s="20" t="s">
        <v>226</v>
      </c>
      <c r="H35" s="25"/>
      <c r="I35" s="33">
        <v>30</v>
      </c>
      <c r="J35" s="25">
        <f>IF(AND($C$10&gt;30,$C$10&lt;41)=TRUE,(K35/100),IF($C$10&gt;-99999,0))</f>
        <v>0</v>
      </c>
      <c r="K35" s="34">
        <v>22</v>
      </c>
    </row>
    <row r="36" spans="4:11" ht="9.9499999999999993" customHeight="1">
      <c r="D36" s="20" t="s">
        <v>227</v>
      </c>
      <c r="E36" s="1">
        <v>41</v>
      </c>
      <c r="F36" s="24">
        <f>IF($C$10&gt;40,(25+($C$10*0.75)),IF($C$10&lt;41,0))</f>
        <v>0</v>
      </c>
      <c r="G36" s="20" t="s">
        <v>228</v>
      </c>
      <c r="H36" s="25"/>
      <c r="I36" s="33">
        <v>30</v>
      </c>
      <c r="J36" s="25">
        <f>IF(AND($C$10&gt;40,$C$10&lt;51)=TRUE,(K36/100),IF($C$10&gt;-99999,0))</f>
        <v>0</v>
      </c>
      <c r="K36" s="34">
        <v>20</v>
      </c>
    </row>
    <row r="37" spans="4:11" ht="9.9499999999999993" customHeight="1">
      <c r="D37" s="20" t="s">
        <v>229</v>
      </c>
      <c r="E37" s="1">
        <v>51</v>
      </c>
      <c r="F37" s="24"/>
      <c r="G37" s="20" t="s">
        <v>230</v>
      </c>
      <c r="H37" s="25"/>
      <c r="I37" s="33">
        <v>30</v>
      </c>
      <c r="J37" s="25">
        <f>IF(AND($C$10&gt;50,$C$10&lt;61)=TRUE,(K37/100),IF($C$10&gt;-99999,0))</f>
        <v>0</v>
      </c>
      <c r="K37" s="34">
        <v>18</v>
      </c>
    </row>
    <row r="38" spans="4:11" ht="9.9499999999999993" customHeight="1">
      <c r="D38" s="35" t="s">
        <v>231</v>
      </c>
      <c r="E38" s="36">
        <v>61</v>
      </c>
      <c r="F38" s="37"/>
      <c r="G38" s="35" t="s">
        <v>124</v>
      </c>
      <c r="H38" s="38"/>
      <c r="I38" s="39">
        <v>30</v>
      </c>
      <c r="J38" s="38">
        <f>IF($C$10&gt;60,(K38/100),IF($C$10&gt;-99999,0))</f>
        <v>0</v>
      </c>
      <c r="K38" s="40">
        <v>16</v>
      </c>
    </row>
    <row r="39" spans="4:11" ht="9.9499999999999993" customHeight="1">
      <c r="D39" s="21"/>
      <c r="F39" s="24"/>
      <c r="G39" s="21"/>
      <c r="H39" s="25"/>
      <c r="I39" s="26"/>
    </row>
    <row r="40" spans="4:11" ht="9.9499999999999993" customHeight="1">
      <c r="D40" s="21"/>
      <c r="F40" s="24"/>
      <c r="G40" s="21"/>
      <c r="H40" s="25"/>
      <c r="I40" s="26"/>
    </row>
    <row r="41" spans="4:11" ht="9.9499999999999993" customHeight="1">
      <c r="D41" s="21"/>
      <c r="F41" s="24">
        <f>SUM(F9:F38)</f>
        <v>21</v>
      </c>
      <c r="G41" s="21"/>
      <c r="H41" s="25">
        <f>SUM(H9:H38)</f>
        <v>0.59</v>
      </c>
      <c r="I41" s="26"/>
      <c r="J41" s="25">
        <f>SUM(J9:J38)</f>
        <v>0.43</v>
      </c>
    </row>
    <row r="42" spans="4:11" ht="9.9499999999999993" customHeight="1">
      <c r="D42" s="21"/>
      <c r="F42" s="24"/>
      <c r="G42" s="21"/>
      <c r="H42" s="25"/>
      <c r="I42" s="26"/>
    </row>
    <row r="43" spans="4:11" ht="9.9499999999999993" customHeight="1">
      <c r="D43" s="21"/>
      <c r="F43" s="24"/>
      <c r="G43" s="21"/>
      <c r="H43" s="25"/>
      <c r="I43" s="26"/>
    </row>
    <row r="44" spans="4:11" ht="9.9499999999999993" customHeight="1">
      <c r="D44" s="21"/>
      <c r="F44" s="24"/>
      <c r="G44" s="21"/>
      <c r="H44" s="25"/>
      <c r="I44" s="26"/>
    </row>
    <row r="45" spans="4:11" ht="9.9499999999999993" customHeight="1">
      <c r="D45" s="8"/>
      <c r="F45" s="24"/>
      <c r="G45" s="21"/>
      <c r="H45" s="25"/>
      <c r="I45" s="26"/>
    </row>
    <row r="46" spans="4:11" ht="9.9499999999999993" customHeight="1">
      <c r="D46" s="8" t="s">
        <v>232</v>
      </c>
      <c r="F46" s="24"/>
      <c r="G46" s="21"/>
      <c r="H46" s="25"/>
      <c r="I46" s="26"/>
    </row>
    <row r="47" spans="4:11" ht="9.9499999999999993" customHeight="1">
      <c r="D47" s="21"/>
      <c r="F47" s="24"/>
      <c r="G47" s="21"/>
      <c r="H47" s="25"/>
      <c r="I47" s="26"/>
    </row>
    <row r="48" spans="4:11" ht="9.9499999999999993" customHeight="1">
      <c r="D48" s="27" t="s">
        <v>123</v>
      </c>
      <c r="E48" s="27"/>
      <c r="F48" s="44"/>
      <c r="G48" s="27" t="s">
        <v>233</v>
      </c>
      <c r="H48" s="25"/>
      <c r="I48" s="26"/>
    </row>
    <row r="49" spans="2:11" ht="9.9499999999999993" customHeight="1">
      <c r="D49" s="20" t="s">
        <v>128</v>
      </c>
      <c r="E49" s="20"/>
      <c r="F49" s="45"/>
      <c r="G49" s="20" t="s">
        <v>234</v>
      </c>
      <c r="H49" s="25"/>
      <c r="I49" s="26"/>
    </row>
    <row r="50" spans="2:11" ht="9.9499999999999993" customHeight="1">
      <c r="D50" s="20" t="s">
        <v>132</v>
      </c>
      <c r="E50" s="20"/>
      <c r="F50" s="45"/>
      <c r="G50" s="20" t="s">
        <v>235</v>
      </c>
      <c r="H50" s="25"/>
      <c r="I50" s="26"/>
    </row>
    <row r="51" spans="2:11" ht="9.9499999999999993" customHeight="1">
      <c r="C51" s="46"/>
      <c r="D51" s="20"/>
      <c r="E51" s="20"/>
      <c r="F51" s="45"/>
      <c r="G51" s="20"/>
      <c r="H51" s="25"/>
      <c r="I51" s="26"/>
    </row>
    <row r="52" spans="2:11" ht="9.9499999999999993" customHeight="1">
      <c r="B52" s="1" t="s">
        <v>236</v>
      </c>
      <c r="C52" s="47">
        <f>Import!V38</f>
        <v>6</v>
      </c>
      <c r="D52" s="27">
        <v>1</v>
      </c>
      <c r="E52" s="27">
        <v>1</v>
      </c>
      <c r="F52" s="48">
        <f t="shared" ref="F52:F93" si="4">IF($C$52=E52,G52,IF($C$52&gt;-99999,0))</f>
        <v>0</v>
      </c>
      <c r="G52" s="27">
        <v>100</v>
      </c>
      <c r="H52" s="25"/>
      <c r="I52" s="26"/>
    </row>
    <row r="53" spans="2:11" ht="9.9499999999999993" customHeight="1">
      <c r="D53" s="20">
        <v>2</v>
      </c>
      <c r="E53" s="20">
        <v>2</v>
      </c>
      <c r="F53" s="49">
        <f t="shared" si="4"/>
        <v>0</v>
      </c>
      <c r="G53" s="20">
        <v>100</v>
      </c>
      <c r="H53" s="25"/>
      <c r="I53" s="26"/>
    </row>
    <row r="54" spans="2:11" ht="9.9499999999999993" customHeight="1">
      <c r="B54" s="1" t="s">
        <v>237</v>
      </c>
      <c r="C54" s="50">
        <f>F97</f>
        <v>75</v>
      </c>
      <c r="D54" s="20">
        <v>3</v>
      </c>
      <c r="E54" s="20">
        <v>3</v>
      </c>
      <c r="F54" s="49">
        <f t="shared" si="4"/>
        <v>0</v>
      </c>
      <c r="G54" s="20">
        <v>100</v>
      </c>
      <c r="H54" s="25"/>
      <c r="I54" s="26"/>
    </row>
    <row r="55" spans="2:11" ht="9.9499999999999993" customHeight="1">
      <c r="D55" s="20">
        <v>4</v>
      </c>
      <c r="E55" s="20">
        <v>4</v>
      </c>
      <c r="F55" s="49">
        <f t="shared" si="4"/>
        <v>0</v>
      </c>
      <c r="G55" s="20">
        <v>100</v>
      </c>
      <c r="H55" s="25"/>
      <c r="I55" s="26"/>
    </row>
    <row r="56" spans="2:11" ht="9.9499999999999993" customHeight="1">
      <c r="D56" s="20">
        <v>5</v>
      </c>
      <c r="E56" s="20">
        <v>5</v>
      </c>
      <c r="F56" s="49">
        <f t="shared" si="4"/>
        <v>0</v>
      </c>
      <c r="G56" s="20">
        <v>85</v>
      </c>
      <c r="H56" s="25"/>
      <c r="I56" s="26"/>
    </row>
    <row r="57" spans="2:11" ht="9.9499999999999993" customHeight="1">
      <c r="D57" s="20">
        <v>6</v>
      </c>
      <c r="E57" s="20">
        <v>6</v>
      </c>
      <c r="F57" s="49">
        <f t="shared" si="4"/>
        <v>75</v>
      </c>
      <c r="G57" s="20">
        <v>75</v>
      </c>
      <c r="H57" s="25"/>
      <c r="I57" s="26"/>
    </row>
    <row r="58" spans="2:11" ht="9.9499999999999993" customHeight="1">
      <c r="D58" s="20">
        <v>7</v>
      </c>
      <c r="E58" s="20">
        <v>7</v>
      </c>
      <c r="F58" s="49">
        <f t="shared" si="4"/>
        <v>0</v>
      </c>
      <c r="G58" s="20">
        <v>65</v>
      </c>
      <c r="H58" s="25"/>
      <c r="I58" s="26"/>
    </row>
    <row r="59" spans="2:11" ht="9.9499999999999993" customHeight="1">
      <c r="D59" s="20">
        <v>8</v>
      </c>
      <c r="E59" s="20">
        <v>8</v>
      </c>
      <c r="F59" s="49">
        <f t="shared" si="4"/>
        <v>0</v>
      </c>
      <c r="G59" s="20">
        <v>60</v>
      </c>
      <c r="H59" s="25"/>
      <c r="I59" s="26"/>
    </row>
    <row r="60" spans="2:11" ht="9.9499999999999993" customHeight="1">
      <c r="D60" s="20">
        <v>9</v>
      </c>
      <c r="E60" s="20">
        <v>9</v>
      </c>
      <c r="F60" s="49">
        <f t="shared" si="4"/>
        <v>0</v>
      </c>
      <c r="G60" s="20">
        <v>55</v>
      </c>
      <c r="H60" s="25"/>
      <c r="I60" s="26"/>
    </row>
    <row r="61" spans="2:11" ht="9.9499999999999993" customHeight="1">
      <c r="D61" s="20">
        <v>10</v>
      </c>
      <c r="E61" s="20">
        <v>10</v>
      </c>
      <c r="F61" s="49">
        <f t="shared" si="4"/>
        <v>0</v>
      </c>
      <c r="G61" s="20">
        <v>50</v>
      </c>
      <c r="H61" s="25"/>
      <c r="I61" s="26"/>
    </row>
    <row r="62" spans="2:11" ht="9.9499999999999993" customHeight="1">
      <c r="D62" s="20">
        <v>11</v>
      </c>
      <c r="E62" s="20">
        <f t="shared" ref="E62:E73" si="5">E61+1</f>
        <v>11</v>
      </c>
      <c r="F62" s="49">
        <f t="shared" si="4"/>
        <v>0</v>
      </c>
      <c r="G62" s="20">
        <v>47</v>
      </c>
      <c r="H62" s="25"/>
      <c r="I62" s="51"/>
    </row>
    <row r="63" spans="2:11" ht="9.9499999999999993" customHeight="1">
      <c r="D63" s="52">
        <v>12</v>
      </c>
      <c r="E63" s="52">
        <f t="shared" si="5"/>
        <v>12</v>
      </c>
      <c r="F63" s="53">
        <f t="shared" si="4"/>
        <v>0</v>
      </c>
      <c r="G63" s="52">
        <f t="shared" ref="G63:G73" si="6">(47-(E63-11))</f>
        <v>46</v>
      </c>
      <c r="H63" s="25"/>
      <c r="I63" s="51">
        <f t="shared" ref="I63:I73" si="7">(47-(E63-11))</f>
        <v>46</v>
      </c>
      <c r="J63" s="1">
        <f t="shared" ref="J63:J93" si="8">I63*1</f>
        <v>46</v>
      </c>
      <c r="K63" s="1">
        <f t="shared" ref="K63:K94" si="9">IF(G63=J63,0,99)</f>
        <v>0</v>
      </c>
    </row>
    <row r="64" spans="2:11" ht="9.9499999999999993" customHeight="1">
      <c r="D64" s="52">
        <v>13</v>
      </c>
      <c r="E64" s="52">
        <f t="shared" si="5"/>
        <v>13</v>
      </c>
      <c r="F64" s="53">
        <f t="shared" si="4"/>
        <v>0</v>
      </c>
      <c r="G64" s="52">
        <f t="shared" si="6"/>
        <v>45</v>
      </c>
      <c r="H64" s="25"/>
      <c r="I64" s="51">
        <f t="shared" si="7"/>
        <v>45</v>
      </c>
      <c r="J64" s="1">
        <f t="shared" si="8"/>
        <v>45</v>
      </c>
      <c r="K64" s="1">
        <f t="shared" si="9"/>
        <v>0</v>
      </c>
    </row>
    <row r="65" spans="3:11" ht="9.9499999999999993" customHeight="1">
      <c r="D65" s="52">
        <v>14</v>
      </c>
      <c r="E65" s="52">
        <f t="shared" si="5"/>
        <v>14</v>
      </c>
      <c r="F65" s="53">
        <f t="shared" si="4"/>
        <v>0</v>
      </c>
      <c r="G65" s="52">
        <f t="shared" si="6"/>
        <v>44</v>
      </c>
      <c r="H65" s="25"/>
      <c r="I65" s="51">
        <f t="shared" si="7"/>
        <v>44</v>
      </c>
      <c r="J65" s="1">
        <f t="shared" si="8"/>
        <v>44</v>
      </c>
      <c r="K65" s="1">
        <f t="shared" si="9"/>
        <v>0</v>
      </c>
    </row>
    <row r="66" spans="3:11" ht="9.9499999999999993" customHeight="1">
      <c r="D66" s="52">
        <v>15</v>
      </c>
      <c r="E66" s="52">
        <f t="shared" si="5"/>
        <v>15</v>
      </c>
      <c r="F66" s="53">
        <f t="shared" si="4"/>
        <v>0</v>
      </c>
      <c r="G66" s="52">
        <f t="shared" si="6"/>
        <v>43</v>
      </c>
      <c r="H66" s="25"/>
      <c r="I66" s="51">
        <f t="shared" si="7"/>
        <v>43</v>
      </c>
      <c r="J66" s="1">
        <f t="shared" si="8"/>
        <v>43</v>
      </c>
      <c r="K66" s="1">
        <f t="shared" si="9"/>
        <v>0</v>
      </c>
    </row>
    <row r="67" spans="3:11" ht="9.9499999999999993" customHeight="1">
      <c r="D67" s="52">
        <v>16</v>
      </c>
      <c r="E67" s="52">
        <f t="shared" si="5"/>
        <v>16</v>
      </c>
      <c r="F67" s="53">
        <f t="shared" si="4"/>
        <v>0</v>
      </c>
      <c r="G67" s="52">
        <f t="shared" si="6"/>
        <v>42</v>
      </c>
      <c r="H67" s="25"/>
      <c r="I67" s="51">
        <f t="shared" si="7"/>
        <v>42</v>
      </c>
      <c r="J67" s="1">
        <f t="shared" si="8"/>
        <v>42</v>
      </c>
      <c r="K67" s="1">
        <f t="shared" si="9"/>
        <v>0</v>
      </c>
    </row>
    <row r="68" spans="3:11" ht="9.9499999999999993" customHeight="1">
      <c r="D68" s="52">
        <v>17</v>
      </c>
      <c r="E68" s="52">
        <f t="shared" si="5"/>
        <v>17</v>
      </c>
      <c r="F68" s="53">
        <f t="shared" si="4"/>
        <v>0</v>
      </c>
      <c r="G68" s="52">
        <f t="shared" si="6"/>
        <v>41</v>
      </c>
      <c r="H68" s="25"/>
      <c r="I68" s="51">
        <f t="shared" si="7"/>
        <v>41</v>
      </c>
      <c r="J68" s="1">
        <f t="shared" si="8"/>
        <v>41</v>
      </c>
      <c r="K68" s="1">
        <f t="shared" si="9"/>
        <v>0</v>
      </c>
    </row>
    <row r="69" spans="3:11" ht="9.9499999999999993" customHeight="1">
      <c r="D69" s="52">
        <v>18</v>
      </c>
      <c r="E69" s="52">
        <f t="shared" si="5"/>
        <v>18</v>
      </c>
      <c r="F69" s="53">
        <f t="shared" si="4"/>
        <v>0</v>
      </c>
      <c r="G69" s="52">
        <f t="shared" si="6"/>
        <v>40</v>
      </c>
      <c r="H69" s="25"/>
      <c r="I69" s="51">
        <f t="shared" si="7"/>
        <v>40</v>
      </c>
      <c r="J69" s="1">
        <f t="shared" si="8"/>
        <v>40</v>
      </c>
      <c r="K69" s="1">
        <f t="shared" si="9"/>
        <v>0</v>
      </c>
    </row>
    <row r="70" spans="3:11" ht="9.9499999999999993" customHeight="1">
      <c r="D70" s="52">
        <v>19</v>
      </c>
      <c r="E70" s="52">
        <f t="shared" si="5"/>
        <v>19</v>
      </c>
      <c r="F70" s="53">
        <f t="shared" si="4"/>
        <v>0</v>
      </c>
      <c r="G70" s="52">
        <f t="shared" si="6"/>
        <v>39</v>
      </c>
      <c r="H70" s="25"/>
      <c r="I70" s="51">
        <f t="shared" si="7"/>
        <v>39</v>
      </c>
      <c r="J70" s="1">
        <f t="shared" si="8"/>
        <v>39</v>
      </c>
      <c r="K70" s="1">
        <f t="shared" si="9"/>
        <v>0</v>
      </c>
    </row>
    <row r="71" spans="3:11" ht="9.9499999999999993" customHeight="1">
      <c r="D71" s="52">
        <v>20</v>
      </c>
      <c r="E71" s="52">
        <f t="shared" si="5"/>
        <v>20</v>
      </c>
      <c r="F71" s="53">
        <f t="shared" si="4"/>
        <v>0</v>
      </c>
      <c r="G71" s="52">
        <f t="shared" si="6"/>
        <v>38</v>
      </c>
      <c r="H71" s="25"/>
      <c r="I71" s="51">
        <f t="shared" si="7"/>
        <v>38</v>
      </c>
      <c r="J71" s="1">
        <f t="shared" si="8"/>
        <v>38</v>
      </c>
      <c r="K71" s="1">
        <f t="shared" si="9"/>
        <v>0</v>
      </c>
    </row>
    <row r="72" spans="3:11" ht="9.9499999999999993" customHeight="1">
      <c r="D72" s="52">
        <v>21</v>
      </c>
      <c r="E72" s="52">
        <f t="shared" si="5"/>
        <v>21</v>
      </c>
      <c r="F72" s="53">
        <f t="shared" si="4"/>
        <v>0</v>
      </c>
      <c r="G72" s="52">
        <f t="shared" si="6"/>
        <v>37</v>
      </c>
      <c r="H72" s="25"/>
      <c r="I72" s="51">
        <f t="shared" si="7"/>
        <v>37</v>
      </c>
      <c r="J72" s="1">
        <f t="shared" si="8"/>
        <v>37</v>
      </c>
      <c r="K72" s="1">
        <f t="shared" si="9"/>
        <v>0</v>
      </c>
    </row>
    <row r="73" spans="3:11" ht="9.9499999999999993" customHeight="1">
      <c r="D73" s="52">
        <v>22</v>
      </c>
      <c r="E73" s="52">
        <f t="shared" si="5"/>
        <v>22</v>
      </c>
      <c r="F73" s="53">
        <f t="shared" si="4"/>
        <v>0</v>
      </c>
      <c r="G73" s="52">
        <f t="shared" si="6"/>
        <v>36</v>
      </c>
      <c r="H73" s="25"/>
      <c r="I73" s="51">
        <f t="shared" si="7"/>
        <v>36</v>
      </c>
      <c r="J73" s="1">
        <f t="shared" si="8"/>
        <v>36</v>
      </c>
      <c r="K73" s="1">
        <f t="shared" si="9"/>
        <v>0</v>
      </c>
    </row>
    <row r="74" spans="3:11" ht="9.9499999999999993" customHeight="1">
      <c r="D74" s="20">
        <v>23</v>
      </c>
      <c r="E74" s="20">
        <v>23</v>
      </c>
      <c r="F74" s="49">
        <f t="shared" si="4"/>
        <v>0</v>
      </c>
      <c r="G74" s="20">
        <v>35</v>
      </c>
      <c r="H74" s="25"/>
      <c r="I74" s="51">
        <v>35</v>
      </c>
      <c r="J74" s="1">
        <f t="shared" si="8"/>
        <v>35</v>
      </c>
      <c r="K74" s="1">
        <f t="shared" si="9"/>
        <v>0</v>
      </c>
    </row>
    <row r="75" spans="3:11" ht="9.9499999999999993" customHeight="1">
      <c r="C75" s="3"/>
      <c r="D75" s="52">
        <f t="shared" ref="D75:D93" si="10">D74+1</f>
        <v>24</v>
      </c>
      <c r="E75" s="52">
        <f t="shared" ref="E75:E93" si="11">E74+1</f>
        <v>24</v>
      </c>
      <c r="F75" s="53">
        <f t="shared" si="4"/>
        <v>0</v>
      </c>
      <c r="G75" s="52">
        <f t="shared" ref="G75:G93" si="12">(35-(0.5*(E75-23)))</f>
        <v>34.5</v>
      </c>
      <c r="H75" s="25"/>
      <c r="I75" s="51">
        <f t="shared" ref="I75:I93" si="13">(35-(0.5*(E75-23)))</f>
        <v>34.5</v>
      </c>
      <c r="J75" s="1">
        <f t="shared" si="8"/>
        <v>34.5</v>
      </c>
      <c r="K75" s="1">
        <f t="shared" si="9"/>
        <v>0</v>
      </c>
    </row>
    <row r="76" spans="3:11" ht="9.9499999999999993" customHeight="1">
      <c r="D76" s="52">
        <f t="shared" si="10"/>
        <v>25</v>
      </c>
      <c r="E76" s="52">
        <f t="shared" si="11"/>
        <v>25</v>
      </c>
      <c r="F76" s="53">
        <f t="shared" si="4"/>
        <v>0</v>
      </c>
      <c r="G76" s="52">
        <f t="shared" si="12"/>
        <v>34</v>
      </c>
      <c r="H76" s="25"/>
      <c r="I76" s="51">
        <f t="shared" si="13"/>
        <v>34</v>
      </c>
      <c r="J76" s="1">
        <f t="shared" si="8"/>
        <v>34</v>
      </c>
      <c r="K76" s="1">
        <f t="shared" si="9"/>
        <v>0</v>
      </c>
    </row>
    <row r="77" spans="3:11" ht="9.9499999999999993" customHeight="1">
      <c r="D77" s="52">
        <f t="shared" si="10"/>
        <v>26</v>
      </c>
      <c r="E77" s="52">
        <f t="shared" si="11"/>
        <v>26</v>
      </c>
      <c r="F77" s="53">
        <f t="shared" si="4"/>
        <v>0</v>
      </c>
      <c r="G77" s="52">
        <f t="shared" si="12"/>
        <v>33.5</v>
      </c>
      <c r="H77" s="25"/>
      <c r="I77" s="51">
        <f t="shared" si="13"/>
        <v>33.5</v>
      </c>
      <c r="J77" s="1">
        <f t="shared" si="8"/>
        <v>33.5</v>
      </c>
      <c r="K77" s="1">
        <f t="shared" si="9"/>
        <v>0</v>
      </c>
    </row>
    <row r="78" spans="3:11" ht="9.9499999999999993" customHeight="1">
      <c r="D78" s="52">
        <f t="shared" si="10"/>
        <v>27</v>
      </c>
      <c r="E78" s="52">
        <f t="shared" si="11"/>
        <v>27</v>
      </c>
      <c r="F78" s="53">
        <f t="shared" si="4"/>
        <v>0</v>
      </c>
      <c r="G78" s="52">
        <f t="shared" si="12"/>
        <v>33</v>
      </c>
      <c r="H78" s="25"/>
      <c r="I78" s="51">
        <f t="shared" si="13"/>
        <v>33</v>
      </c>
      <c r="J78" s="1">
        <f t="shared" si="8"/>
        <v>33</v>
      </c>
      <c r="K78" s="1">
        <f t="shared" si="9"/>
        <v>0</v>
      </c>
    </row>
    <row r="79" spans="3:11" ht="9.9499999999999993" customHeight="1">
      <c r="D79" s="52">
        <f t="shared" si="10"/>
        <v>28</v>
      </c>
      <c r="E79" s="52">
        <f t="shared" si="11"/>
        <v>28</v>
      </c>
      <c r="F79" s="53">
        <f t="shared" si="4"/>
        <v>0</v>
      </c>
      <c r="G79" s="52">
        <f t="shared" si="12"/>
        <v>32.5</v>
      </c>
      <c r="H79" s="25"/>
      <c r="I79" s="51">
        <f t="shared" si="13"/>
        <v>32.5</v>
      </c>
      <c r="J79" s="1">
        <f t="shared" si="8"/>
        <v>32.5</v>
      </c>
      <c r="K79" s="1">
        <f t="shared" si="9"/>
        <v>0</v>
      </c>
    </row>
    <row r="80" spans="3:11" ht="9.9499999999999993" customHeight="1">
      <c r="D80" s="52">
        <f t="shared" si="10"/>
        <v>29</v>
      </c>
      <c r="E80" s="52">
        <f t="shared" si="11"/>
        <v>29</v>
      </c>
      <c r="F80" s="53">
        <f t="shared" si="4"/>
        <v>0</v>
      </c>
      <c r="G80" s="52">
        <f t="shared" si="12"/>
        <v>32</v>
      </c>
      <c r="H80" s="25"/>
      <c r="I80" s="51">
        <f t="shared" si="13"/>
        <v>32</v>
      </c>
      <c r="J80" s="1">
        <f t="shared" si="8"/>
        <v>32</v>
      </c>
      <c r="K80" s="1">
        <f t="shared" si="9"/>
        <v>0</v>
      </c>
    </row>
    <row r="81" spans="4:11" ht="9.9499999999999993" customHeight="1">
      <c r="D81" s="52">
        <f t="shared" si="10"/>
        <v>30</v>
      </c>
      <c r="E81" s="52">
        <f t="shared" si="11"/>
        <v>30</v>
      </c>
      <c r="F81" s="53">
        <f t="shared" si="4"/>
        <v>0</v>
      </c>
      <c r="G81" s="52">
        <f t="shared" si="12"/>
        <v>31.5</v>
      </c>
      <c r="H81" s="25"/>
      <c r="I81" s="51">
        <f t="shared" si="13"/>
        <v>31.5</v>
      </c>
      <c r="J81" s="1">
        <f t="shared" si="8"/>
        <v>31.5</v>
      </c>
      <c r="K81" s="1">
        <f t="shared" si="9"/>
        <v>0</v>
      </c>
    </row>
    <row r="82" spans="4:11" ht="9.9499999999999993" customHeight="1">
      <c r="D82" s="52">
        <f t="shared" si="10"/>
        <v>31</v>
      </c>
      <c r="E82" s="52">
        <f t="shared" si="11"/>
        <v>31</v>
      </c>
      <c r="F82" s="53">
        <f t="shared" si="4"/>
        <v>0</v>
      </c>
      <c r="G82" s="52">
        <f t="shared" si="12"/>
        <v>31</v>
      </c>
      <c r="H82" s="25"/>
      <c r="I82" s="51">
        <f t="shared" si="13"/>
        <v>31</v>
      </c>
      <c r="J82" s="1">
        <f t="shared" si="8"/>
        <v>31</v>
      </c>
      <c r="K82" s="1">
        <f t="shared" si="9"/>
        <v>0</v>
      </c>
    </row>
    <row r="83" spans="4:11" ht="9.9499999999999993" customHeight="1">
      <c r="D83" s="52">
        <f t="shared" si="10"/>
        <v>32</v>
      </c>
      <c r="E83" s="52">
        <f t="shared" si="11"/>
        <v>32</v>
      </c>
      <c r="F83" s="53">
        <f t="shared" si="4"/>
        <v>0</v>
      </c>
      <c r="G83" s="52">
        <f t="shared" si="12"/>
        <v>30.5</v>
      </c>
      <c r="H83" s="25"/>
      <c r="I83" s="51">
        <f t="shared" si="13"/>
        <v>30.5</v>
      </c>
      <c r="J83" s="1">
        <f t="shared" si="8"/>
        <v>30.5</v>
      </c>
      <c r="K83" s="1">
        <f t="shared" si="9"/>
        <v>0</v>
      </c>
    </row>
    <row r="84" spans="4:11" ht="9.9499999999999993" customHeight="1">
      <c r="D84" s="52">
        <f t="shared" si="10"/>
        <v>33</v>
      </c>
      <c r="E84" s="52">
        <f t="shared" si="11"/>
        <v>33</v>
      </c>
      <c r="F84" s="53">
        <f t="shared" si="4"/>
        <v>0</v>
      </c>
      <c r="G84" s="52">
        <f t="shared" si="12"/>
        <v>30</v>
      </c>
      <c r="H84" s="25"/>
      <c r="I84" s="51">
        <f t="shared" si="13"/>
        <v>30</v>
      </c>
      <c r="J84" s="1">
        <f t="shared" si="8"/>
        <v>30</v>
      </c>
      <c r="K84" s="1">
        <f t="shared" si="9"/>
        <v>0</v>
      </c>
    </row>
    <row r="85" spans="4:11" ht="9.9499999999999993" customHeight="1">
      <c r="D85" s="52">
        <f t="shared" si="10"/>
        <v>34</v>
      </c>
      <c r="E85" s="52">
        <f t="shared" si="11"/>
        <v>34</v>
      </c>
      <c r="F85" s="53">
        <f t="shared" si="4"/>
        <v>0</v>
      </c>
      <c r="G85" s="52">
        <f t="shared" si="12"/>
        <v>29.5</v>
      </c>
      <c r="H85" s="25"/>
      <c r="I85" s="51">
        <f t="shared" si="13"/>
        <v>29.5</v>
      </c>
      <c r="J85" s="1">
        <f t="shared" si="8"/>
        <v>29.5</v>
      </c>
      <c r="K85" s="1">
        <f t="shared" si="9"/>
        <v>0</v>
      </c>
    </row>
    <row r="86" spans="4:11" ht="9.9499999999999993" customHeight="1">
      <c r="D86" s="52">
        <f t="shared" si="10"/>
        <v>35</v>
      </c>
      <c r="E86" s="52">
        <f t="shared" si="11"/>
        <v>35</v>
      </c>
      <c r="F86" s="53">
        <f t="shared" si="4"/>
        <v>0</v>
      </c>
      <c r="G86" s="52">
        <f t="shared" si="12"/>
        <v>29</v>
      </c>
      <c r="H86" s="25"/>
      <c r="I86" s="51">
        <f t="shared" si="13"/>
        <v>29</v>
      </c>
      <c r="J86" s="1">
        <f t="shared" si="8"/>
        <v>29</v>
      </c>
      <c r="K86" s="1">
        <f t="shared" si="9"/>
        <v>0</v>
      </c>
    </row>
    <row r="87" spans="4:11" ht="9.9499999999999993" customHeight="1">
      <c r="D87" s="52">
        <f t="shared" si="10"/>
        <v>36</v>
      </c>
      <c r="E87" s="52">
        <f t="shared" si="11"/>
        <v>36</v>
      </c>
      <c r="F87" s="53">
        <f t="shared" si="4"/>
        <v>0</v>
      </c>
      <c r="G87" s="52">
        <f t="shared" si="12"/>
        <v>28.5</v>
      </c>
      <c r="H87" s="25"/>
      <c r="I87" s="51">
        <f t="shared" si="13"/>
        <v>28.5</v>
      </c>
      <c r="J87" s="1">
        <f t="shared" si="8"/>
        <v>28.5</v>
      </c>
      <c r="K87" s="1">
        <f t="shared" si="9"/>
        <v>0</v>
      </c>
    </row>
    <row r="88" spans="4:11" ht="9.9499999999999993" customHeight="1">
      <c r="D88" s="52">
        <f t="shared" si="10"/>
        <v>37</v>
      </c>
      <c r="E88" s="52">
        <f t="shared" si="11"/>
        <v>37</v>
      </c>
      <c r="F88" s="53">
        <f t="shared" si="4"/>
        <v>0</v>
      </c>
      <c r="G88" s="52">
        <f t="shared" si="12"/>
        <v>28</v>
      </c>
      <c r="H88" s="25"/>
      <c r="I88" s="51">
        <f t="shared" si="13"/>
        <v>28</v>
      </c>
      <c r="J88" s="1">
        <f t="shared" si="8"/>
        <v>28</v>
      </c>
      <c r="K88" s="1">
        <f t="shared" si="9"/>
        <v>0</v>
      </c>
    </row>
    <row r="89" spans="4:11" ht="9.9499999999999993" customHeight="1">
      <c r="D89" s="52">
        <f t="shared" si="10"/>
        <v>38</v>
      </c>
      <c r="E89" s="52">
        <f t="shared" si="11"/>
        <v>38</v>
      </c>
      <c r="F89" s="53">
        <f t="shared" si="4"/>
        <v>0</v>
      </c>
      <c r="G89" s="52">
        <f t="shared" si="12"/>
        <v>27.5</v>
      </c>
      <c r="H89" s="25"/>
      <c r="I89" s="51">
        <f t="shared" si="13"/>
        <v>27.5</v>
      </c>
      <c r="J89" s="1">
        <f t="shared" si="8"/>
        <v>27.5</v>
      </c>
      <c r="K89" s="1">
        <f t="shared" si="9"/>
        <v>0</v>
      </c>
    </row>
    <row r="90" spans="4:11" ht="9.9499999999999993" customHeight="1">
      <c r="D90" s="52">
        <f t="shared" si="10"/>
        <v>39</v>
      </c>
      <c r="E90" s="52">
        <f t="shared" si="11"/>
        <v>39</v>
      </c>
      <c r="F90" s="53">
        <f t="shared" si="4"/>
        <v>0</v>
      </c>
      <c r="G90" s="52">
        <f t="shared" si="12"/>
        <v>27</v>
      </c>
      <c r="H90" s="25"/>
      <c r="I90" s="51">
        <f t="shared" si="13"/>
        <v>27</v>
      </c>
      <c r="J90" s="1">
        <f t="shared" si="8"/>
        <v>27</v>
      </c>
      <c r="K90" s="1">
        <f t="shared" si="9"/>
        <v>0</v>
      </c>
    </row>
    <row r="91" spans="4:11" ht="9.9499999999999993" customHeight="1">
      <c r="D91" s="52">
        <f t="shared" si="10"/>
        <v>40</v>
      </c>
      <c r="E91" s="52">
        <f t="shared" si="11"/>
        <v>40</v>
      </c>
      <c r="F91" s="53">
        <f t="shared" si="4"/>
        <v>0</v>
      </c>
      <c r="G91" s="52">
        <f t="shared" si="12"/>
        <v>26.5</v>
      </c>
      <c r="H91" s="25"/>
      <c r="I91" s="51">
        <f t="shared" si="13"/>
        <v>26.5</v>
      </c>
      <c r="J91" s="1">
        <f t="shared" si="8"/>
        <v>26.5</v>
      </c>
      <c r="K91" s="1">
        <f t="shared" si="9"/>
        <v>0</v>
      </c>
    </row>
    <row r="92" spans="4:11" ht="9.9499999999999993" customHeight="1">
      <c r="D92" s="52">
        <f t="shared" si="10"/>
        <v>41</v>
      </c>
      <c r="E92" s="52">
        <f t="shared" si="11"/>
        <v>41</v>
      </c>
      <c r="F92" s="53">
        <f t="shared" si="4"/>
        <v>0</v>
      </c>
      <c r="G92" s="52">
        <f t="shared" si="12"/>
        <v>26</v>
      </c>
      <c r="H92" s="25"/>
      <c r="I92" s="51">
        <f t="shared" si="13"/>
        <v>26</v>
      </c>
      <c r="J92" s="1">
        <f t="shared" si="8"/>
        <v>26</v>
      </c>
      <c r="K92" s="1">
        <f t="shared" si="9"/>
        <v>0</v>
      </c>
    </row>
    <row r="93" spans="4:11" ht="9.9499999999999993" customHeight="1">
      <c r="D93" s="52">
        <f t="shared" si="10"/>
        <v>42</v>
      </c>
      <c r="E93" s="52">
        <f t="shared" si="11"/>
        <v>42</v>
      </c>
      <c r="F93" s="53">
        <f t="shared" si="4"/>
        <v>0</v>
      </c>
      <c r="G93" s="52">
        <f t="shared" si="12"/>
        <v>25.5</v>
      </c>
      <c r="H93" s="25"/>
      <c r="I93" s="51">
        <f t="shared" si="13"/>
        <v>25.5</v>
      </c>
      <c r="J93" s="1">
        <f t="shared" si="8"/>
        <v>25.5</v>
      </c>
      <c r="K93" s="1">
        <f t="shared" si="9"/>
        <v>0</v>
      </c>
    </row>
    <row r="94" spans="4:11" ht="9.9499999999999993" customHeight="1">
      <c r="D94" s="35" t="s">
        <v>238</v>
      </c>
      <c r="E94" s="35">
        <v>43</v>
      </c>
      <c r="F94" s="54">
        <f>IF($C$52&gt;42.99999,G94,IF($C$52&gt;-99999,0))</f>
        <v>0</v>
      </c>
      <c r="G94" s="35">
        <v>25</v>
      </c>
      <c r="I94" s="10">
        <v>25</v>
      </c>
      <c r="K94" s="1">
        <f t="shared" si="9"/>
        <v>99</v>
      </c>
    </row>
    <row r="95" spans="4:11" ht="9.9499999999999993" customHeight="1">
      <c r="D95" s="21"/>
      <c r="F95" s="55"/>
      <c r="G95" s="21"/>
      <c r="I95" s="10"/>
    </row>
    <row r="96" spans="4:11" ht="9.9499999999999993" customHeight="1">
      <c r="D96" s="21"/>
      <c r="F96" s="55"/>
      <c r="G96" s="21"/>
      <c r="I96" s="10"/>
    </row>
    <row r="97" spans="2:7" ht="9.9499999999999993" customHeight="1">
      <c r="D97" s="21"/>
      <c r="F97" s="55">
        <f>SUM(F52:F94)</f>
        <v>75</v>
      </c>
      <c r="G97" s="21"/>
    </row>
    <row r="98" spans="2:7" ht="9.9499999999999993" customHeight="1">
      <c r="D98" s="21"/>
      <c r="F98" s="24"/>
      <c r="G98" s="21"/>
    </row>
    <row r="99" spans="2:7" ht="9.9499999999999993" customHeight="1">
      <c r="D99" s="21"/>
      <c r="F99" s="24"/>
      <c r="G99" s="21"/>
    </row>
    <row r="100" spans="2:7" ht="9.9499999999999993" customHeight="1">
      <c r="D100" s="21"/>
      <c r="F100" s="24"/>
      <c r="G100" s="21"/>
    </row>
    <row r="101" spans="2:7" ht="9.9499999999999993" customHeight="1">
      <c r="D101" s="21"/>
      <c r="F101" s="24"/>
      <c r="G101" s="21"/>
    </row>
    <row r="102" spans="2:7" ht="9.9499999999999993" customHeight="1">
      <c r="D102" s="21"/>
      <c r="F102" s="24"/>
      <c r="G102" s="21"/>
    </row>
    <row r="105" spans="2:7" ht="9.9499999999999993" customHeight="1">
      <c r="C105" s="8" t="s">
        <v>239</v>
      </c>
    </row>
    <row r="106" spans="2:7" ht="9.9499999999999993" customHeight="1">
      <c r="C106" s="8" t="s">
        <v>240</v>
      </c>
    </row>
    <row r="107" spans="2:7" ht="9.9499999999999993" customHeight="1">
      <c r="C107" s="8" t="s">
        <v>241</v>
      </c>
    </row>
    <row r="108" spans="2:7" ht="9.9499999999999993" customHeight="1">
      <c r="C108" s="8"/>
    </row>
    <row r="109" spans="2:7" ht="9.9499999999999993" customHeight="1">
      <c r="C109" s="8" t="s">
        <v>242</v>
      </c>
      <c r="D109" s="4"/>
      <c r="E109" s="12" t="s">
        <v>129</v>
      </c>
    </row>
    <row r="110" spans="2:7" ht="9.9499999999999993" customHeight="1">
      <c r="C110" s="8"/>
      <c r="E110" s="12"/>
    </row>
    <row r="111" spans="2:7" ht="9.9499999999999993" customHeight="1">
      <c r="B111" s="1">
        <f>IF(D109&gt;12,VLOOKUP(D109,C114:E128,3),0)</f>
        <v>0</v>
      </c>
      <c r="C111" s="8"/>
      <c r="D111" s="28"/>
      <c r="E111" s="12"/>
    </row>
    <row r="112" spans="2:7" ht="9.9499999999999993" customHeight="1">
      <c r="C112" s="8"/>
      <c r="E112" s="12"/>
    </row>
    <row r="113" spans="3:5" ht="9.9499999999999993" customHeight="1">
      <c r="C113" s="8"/>
      <c r="E113" s="12"/>
    </row>
    <row r="114" spans="3:5" ht="9.9499999999999993" customHeight="1">
      <c r="C114" s="8">
        <v>12.000000099999999</v>
      </c>
      <c r="D114" s="1">
        <v>13</v>
      </c>
      <c r="E114" s="56">
        <v>0.05</v>
      </c>
    </row>
    <row r="115" spans="3:5" ht="9.9499999999999993" customHeight="1">
      <c r="C115" s="8">
        <f t="shared" ref="C115:C128" si="14">C114+1</f>
        <v>13.000000099999999</v>
      </c>
      <c r="D115" s="1">
        <f t="shared" ref="D115:D128" si="15">D114+1</f>
        <v>14</v>
      </c>
      <c r="E115" s="56">
        <f t="shared" ref="E115:E128" si="16">E114+0.05</f>
        <v>0.1</v>
      </c>
    </row>
    <row r="116" spans="3:5" ht="9.9499999999999993" customHeight="1">
      <c r="C116" s="8">
        <f t="shared" si="14"/>
        <v>14.000000099999999</v>
      </c>
      <c r="D116" s="1">
        <f t="shared" si="15"/>
        <v>15</v>
      </c>
      <c r="E116" s="56">
        <f t="shared" si="16"/>
        <v>0.15000000000000002</v>
      </c>
    </row>
    <row r="117" spans="3:5" ht="9.9499999999999993" customHeight="1">
      <c r="C117" s="8">
        <f t="shared" si="14"/>
        <v>15.000000099999999</v>
      </c>
      <c r="D117" s="1">
        <f t="shared" si="15"/>
        <v>16</v>
      </c>
      <c r="E117" s="56">
        <f t="shared" si="16"/>
        <v>0.2</v>
      </c>
    </row>
    <row r="118" spans="3:5" ht="9.9499999999999993" customHeight="1">
      <c r="C118" s="8">
        <f t="shared" si="14"/>
        <v>16.000000100000001</v>
      </c>
      <c r="D118" s="1">
        <f t="shared" si="15"/>
        <v>17</v>
      </c>
      <c r="E118" s="56">
        <f t="shared" si="16"/>
        <v>0.25</v>
      </c>
    </row>
    <row r="119" spans="3:5" ht="9.9499999999999993" customHeight="1">
      <c r="C119" s="8">
        <f t="shared" si="14"/>
        <v>17.000000100000001</v>
      </c>
      <c r="D119" s="1">
        <f t="shared" si="15"/>
        <v>18</v>
      </c>
      <c r="E119" s="56">
        <f t="shared" si="16"/>
        <v>0.3</v>
      </c>
    </row>
    <row r="120" spans="3:5" ht="9.9499999999999993" customHeight="1">
      <c r="C120" s="8">
        <f t="shared" si="14"/>
        <v>18.000000100000001</v>
      </c>
      <c r="D120" s="1">
        <f t="shared" si="15"/>
        <v>19</v>
      </c>
      <c r="E120" s="56">
        <f t="shared" si="16"/>
        <v>0.35</v>
      </c>
    </row>
    <row r="121" spans="3:5" ht="9.9499999999999993" customHeight="1">
      <c r="C121" s="8">
        <f t="shared" si="14"/>
        <v>19.000000100000001</v>
      </c>
      <c r="D121" s="1">
        <f t="shared" si="15"/>
        <v>20</v>
      </c>
      <c r="E121" s="56">
        <f t="shared" si="16"/>
        <v>0.39999999999999997</v>
      </c>
    </row>
    <row r="122" spans="3:5" ht="9.9499999999999993" customHeight="1">
      <c r="C122" s="8">
        <f t="shared" si="14"/>
        <v>20.000000100000001</v>
      </c>
      <c r="D122" s="1">
        <f t="shared" si="15"/>
        <v>21</v>
      </c>
      <c r="E122" s="56">
        <f t="shared" si="16"/>
        <v>0.44999999999999996</v>
      </c>
    </row>
    <row r="123" spans="3:5" ht="9.9499999999999993" customHeight="1">
      <c r="C123" s="8">
        <f t="shared" si="14"/>
        <v>21.000000100000001</v>
      </c>
      <c r="D123" s="1">
        <f t="shared" si="15"/>
        <v>22</v>
      </c>
      <c r="E123" s="56">
        <f t="shared" si="16"/>
        <v>0.49999999999999994</v>
      </c>
    </row>
    <row r="124" spans="3:5" ht="9.9499999999999993" customHeight="1">
      <c r="C124" s="8">
        <f t="shared" si="14"/>
        <v>22.000000100000001</v>
      </c>
      <c r="D124" s="1">
        <f t="shared" si="15"/>
        <v>23</v>
      </c>
      <c r="E124" s="56">
        <f t="shared" si="16"/>
        <v>0.54999999999999993</v>
      </c>
    </row>
    <row r="125" spans="3:5" ht="9.9499999999999993" customHeight="1">
      <c r="C125" s="8">
        <f t="shared" si="14"/>
        <v>23.000000100000001</v>
      </c>
      <c r="D125" s="1">
        <f t="shared" si="15"/>
        <v>24</v>
      </c>
      <c r="E125" s="56">
        <f t="shared" si="16"/>
        <v>0.6</v>
      </c>
    </row>
    <row r="126" spans="3:5" ht="9.9499999999999993" customHeight="1">
      <c r="C126" s="8">
        <f t="shared" si="14"/>
        <v>24.000000100000001</v>
      </c>
      <c r="D126" s="1">
        <f t="shared" si="15"/>
        <v>25</v>
      </c>
      <c r="E126" s="56">
        <f t="shared" si="16"/>
        <v>0.65</v>
      </c>
    </row>
    <row r="127" spans="3:5" ht="9.9499999999999993" customHeight="1">
      <c r="C127" s="8">
        <f t="shared" si="14"/>
        <v>25.000000100000001</v>
      </c>
      <c r="D127" s="1">
        <f t="shared" si="15"/>
        <v>26</v>
      </c>
      <c r="E127" s="56">
        <f t="shared" si="16"/>
        <v>0.70000000000000007</v>
      </c>
    </row>
    <row r="128" spans="3:5" ht="9.9499999999999993" customHeight="1">
      <c r="C128" s="8">
        <f t="shared" si="14"/>
        <v>26.000000100000001</v>
      </c>
      <c r="D128" s="1">
        <f t="shared" si="15"/>
        <v>27</v>
      </c>
      <c r="E128" s="56">
        <f t="shared" si="16"/>
        <v>0.75000000000000011</v>
      </c>
    </row>
    <row r="129" spans="3:10" ht="9.9499999999999993" customHeight="1">
      <c r="C129" s="8"/>
    </row>
    <row r="134" spans="3:10" ht="9.9499999999999993" customHeight="1">
      <c r="H134" s="16"/>
    </row>
    <row r="135" spans="3:10" ht="9.9499999999999993" customHeight="1">
      <c r="C135" s="1" t="s">
        <v>243</v>
      </c>
    </row>
    <row r="136" spans="3:10" ht="9.9499999999999993" customHeight="1">
      <c r="D136" s="12" t="s">
        <v>244</v>
      </c>
      <c r="E136" s="12"/>
    </row>
    <row r="137" spans="3:10" ht="9.9499999999999993" customHeight="1">
      <c r="C137" s="1">
        <v>1</v>
      </c>
      <c r="D137" s="23"/>
      <c r="E137" s="22"/>
      <c r="H137" s="2">
        <f>IF($H$134=1,D137,D137)</f>
        <v>0</v>
      </c>
      <c r="I137" s="2"/>
      <c r="J137" s="2"/>
    </row>
    <row r="138" spans="3:10" ht="9.9499999999999993" customHeight="1">
      <c r="C138" s="1">
        <f t="shared" ref="C138:C160" si="17">C137+1</f>
        <v>2</v>
      </c>
      <c r="D138" s="23"/>
      <c r="E138" s="22"/>
      <c r="H138" s="2"/>
      <c r="I138" s="2">
        <f>IF($H$134=1,D138,D138)</f>
        <v>0</v>
      </c>
      <c r="J138" s="2"/>
    </row>
    <row r="139" spans="3:10" ht="9.9499999999999993" customHeight="1">
      <c r="C139" s="1">
        <f t="shared" si="17"/>
        <v>3</v>
      </c>
      <c r="D139" s="23"/>
      <c r="E139" s="22"/>
      <c r="H139" s="2" t="str">
        <f>IF($H$134=1,D139," ")</f>
        <v xml:space="preserve"> </v>
      </c>
      <c r="I139" s="2"/>
      <c r="J139" s="2">
        <f>IF($H$134=1," ",D139)</f>
        <v>0</v>
      </c>
    </row>
    <row r="140" spans="3:10" ht="9.9499999999999993" customHeight="1">
      <c r="C140" s="1">
        <f t="shared" si="17"/>
        <v>4</v>
      </c>
      <c r="D140" s="23"/>
      <c r="E140" s="22"/>
      <c r="H140" s="2">
        <f>IF($H$134=1," ",D140)</f>
        <v>0</v>
      </c>
      <c r="I140" s="2" t="str">
        <f>IF($H$134=1,D140," ")</f>
        <v xml:space="preserve"> </v>
      </c>
      <c r="J140" s="2"/>
    </row>
    <row r="141" spans="3:10" ht="9.9499999999999993" customHeight="1">
      <c r="C141" s="1">
        <f t="shared" si="17"/>
        <v>5</v>
      </c>
      <c r="D141" s="23"/>
      <c r="E141" s="22"/>
      <c r="H141" s="2" t="str">
        <f>IF($H$134=1,D141," ")</f>
        <v xml:space="preserve"> </v>
      </c>
      <c r="I141" s="2">
        <f>IF($H$134=1," ",D141)</f>
        <v>0</v>
      </c>
      <c r="J141" s="2"/>
    </row>
    <row r="142" spans="3:10" ht="9.9499999999999993" customHeight="1">
      <c r="C142" s="1">
        <f t="shared" si="17"/>
        <v>6</v>
      </c>
      <c r="D142" s="23"/>
      <c r="E142" s="22"/>
      <c r="H142" s="2"/>
      <c r="I142" s="2" t="str">
        <f>IF($H$134=1,D142," ")</f>
        <v xml:space="preserve"> </v>
      </c>
      <c r="J142" s="2">
        <f>IF($H$134=1," ",D142)</f>
        <v>0</v>
      </c>
    </row>
    <row r="143" spans="3:10" ht="9.9499999999999993" customHeight="1">
      <c r="C143" s="1">
        <f t="shared" si="17"/>
        <v>7</v>
      </c>
      <c r="D143" s="23"/>
      <c r="E143" s="22"/>
      <c r="H143" s="2">
        <f>IF($H$134=1,D143,D143)</f>
        <v>0</v>
      </c>
      <c r="I143" s="2"/>
      <c r="J143" s="2"/>
    </row>
    <row r="144" spans="3:10" ht="9.9499999999999993" customHeight="1">
      <c r="C144" s="1">
        <f t="shared" si="17"/>
        <v>8</v>
      </c>
      <c r="D144" s="23"/>
      <c r="E144" s="22"/>
      <c r="H144" s="2"/>
      <c r="I144" s="2">
        <f>IF($H$134=1,D144,D144)</f>
        <v>0</v>
      </c>
      <c r="J144" s="2"/>
    </row>
    <row r="145" spans="3:10" ht="9.9499999999999993" customHeight="1">
      <c r="C145" s="1">
        <f t="shared" si="17"/>
        <v>9</v>
      </c>
      <c r="D145" s="23"/>
      <c r="E145" s="22"/>
      <c r="H145" s="2" t="str">
        <f>IF($H$134=1,D145," ")</f>
        <v xml:space="preserve"> </v>
      </c>
      <c r="I145" s="2"/>
      <c r="J145" s="2">
        <f>IF($H$134=1," ",D145)</f>
        <v>0</v>
      </c>
    </row>
    <row r="146" spans="3:10" ht="9.9499999999999993" customHeight="1">
      <c r="C146" s="1">
        <f t="shared" si="17"/>
        <v>10</v>
      </c>
      <c r="D146" s="23"/>
      <c r="E146" s="22"/>
      <c r="H146" s="2">
        <f>IF($H$134=1," ",D146)</f>
        <v>0</v>
      </c>
      <c r="I146" s="2" t="str">
        <f>IF($H$134=1,D146," ")</f>
        <v xml:space="preserve"> </v>
      </c>
      <c r="J146" s="2"/>
    </row>
    <row r="147" spans="3:10" ht="9.9499999999999993" customHeight="1">
      <c r="C147" s="1">
        <f t="shared" si="17"/>
        <v>11</v>
      </c>
      <c r="D147" s="23"/>
      <c r="E147" s="22"/>
      <c r="H147" s="2" t="str">
        <f>IF($H$134=1,D147," ")</f>
        <v xml:space="preserve"> </v>
      </c>
      <c r="I147" s="2">
        <f>IF($H$134=1," ",D147)</f>
        <v>0</v>
      </c>
      <c r="J147" s="2"/>
    </row>
    <row r="148" spans="3:10" ht="9.9499999999999993" customHeight="1">
      <c r="C148" s="1">
        <f t="shared" si="17"/>
        <v>12</v>
      </c>
      <c r="D148" s="23"/>
      <c r="E148" s="22"/>
      <c r="H148" s="2"/>
      <c r="I148" s="2" t="str">
        <f>IF($H$134=1,D148," ")</f>
        <v xml:space="preserve"> </v>
      </c>
      <c r="J148" s="2">
        <f>IF($H$134=1," ",D148)</f>
        <v>0</v>
      </c>
    </row>
    <row r="149" spans="3:10" ht="9.9499999999999993" customHeight="1">
      <c r="C149" s="1">
        <f t="shared" si="17"/>
        <v>13</v>
      </c>
      <c r="D149" s="23"/>
      <c r="E149" s="22"/>
      <c r="H149" s="2">
        <f>IF($H$134=1,D149,D149)</f>
        <v>0</v>
      </c>
      <c r="I149" s="2"/>
      <c r="J149" s="2"/>
    </row>
    <row r="150" spans="3:10" ht="9.9499999999999993" customHeight="1">
      <c r="C150" s="1">
        <f t="shared" si="17"/>
        <v>14</v>
      </c>
      <c r="D150" s="23"/>
      <c r="E150" s="22"/>
      <c r="H150" s="2"/>
      <c r="I150" s="2">
        <f>IF($H$134=1,D150,D150)</f>
        <v>0</v>
      </c>
      <c r="J150" s="2"/>
    </row>
    <row r="151" spans="3:10" ht="9.9499999999999993" customHeight="1">
      <c r="C151" s="1">
        <f t="shared" si="17"/>
        <v>15</v>
      </c>
      <c r="D151" s="23"/>
      <c r="E151" s="22"/>
      <c r="H151" s="2" t="str">
        <f>IF($H$134=1,D151," ")</f>
        <v xml:space="preserve"> </v>
      </c>
      <c r="I151" s="2"/>
      <c r="J151" s="2">
        <f>IF($H$134=1," ",D151)</f>
        <v>0</v>
      </c>
    </row>
    <row r="152" spans="3:10" ht="9.9499999999999993" customHeight="1">
      <c r="C152" s="1">
        <f t="shared" si="17"/>
        <v>16</v>
      </c>
      <c r="D152" s="23"/>
      <c r="E152" s="22"/>
      <c r="H152" s="2">
        <f>IF($H$134=1," ",D152)</f>
        <v>0</v>
      </c>
      <c r="I152" s="2" t="str">
        <f>IF($H$134=1,D152," ")</f>
        <v xml:space="preserve"> </v>
      </c>
      <c r="J152" s="2"/>
    </row>
    <row r="153" spans="3:10" ht="9.9499999999999993" customHeight="1">
      <c r="C153" s="1">
        <f t="shared" si="17"/>
        <v>17</v>
      </c>
      <c r="D153" s="23"/>
      <c r="E153" s="22"/>
      <c r="H153" s="2" t="str">
        <f>IF($H$134=1,D153," ")</f>
        <v xml:space="preserve"> </v>
      </c>
      <c r="I153" s="2">
        <f>IF($H$134=1," ",D153)</f>
        <v>0</v>
      </c>
      <c r="J153" s="2"/>
    </row>
    <row r="154" spans="3:10" ht="9.9499999999999993" customHeight="1">
      <c r="C154" s="1">
        <f t="shared" si="17"/>
        <v>18</v>
      </c>
      <c r="D154" s="23"/>
      <c r="E154" s="22"/>
      <c r="H154" s="2"/>
      <c r="I154" s="2" t="str">
        <f>IF($H$134=1,D154," ")</f>
        <v xml:space="preserve"> </v>
      </c>
      <c r="J154" s="2">
        <f>IF($H$134=1," ",D154)</f>
        <v>0</v>
      </c>
    </row>
    <row r="155" spans="3:10" ht="9.9499999999999993" customHeight="1">
      <c r="C155" s="1">
        <f t="shared" si="17"/>
        <v>19</v>
      </c>
      <c r="D155" s="23"/>
      <c r="E155" s="22"/>
      <c r="H155" s="2">
        <f>IF($H$134=1,D155,D155)</f>
        <v>0</v>
      </c>
      <c r="I155" s="2"/>
      <c r="J155" s="2"/>
    </row>
    <row r="156" spans="3:10" ht="9.9499999999999993" customHeight="1">
      <c r="C156" s="1">
        <f t="shared" si="17"/>
        <v>20</v>
      </c>
      <c r="D156" s="23"/>
      <c r="E156" s="22"/>
      <c r="H156" s="2"/>
      <c r="I156" s="2">
        <f>IF($H$134=1,D156,D156)</f>
        <v>0</v>
      </c>
      <c r="J156" s="2"/>
    </row>
    <row r="157" spans="3:10" ht="9.9499999999999993" customHeight="1">
      <c r="C157" s="1">
        <f t="shared" si="17"/>
        <v>21</v>
      </c>
      <c r="D157" s="23"/>
      <c r="E157" s="22"/>
      <c r="H157" s="2" t="str">
        <f>IF($H$134=1,D157," ")</f>
        <v xml:space="preserve"> </v>
      </c>
      <c r="I157" s="2"/>
      <c r="J157" s="2">
        <f>IF($H$134=1," ",D157)</f>
        <v>0</v>
      </c>
    </row>
    <row r="158" spans="3:10" ht="9.9499999999999993" customHeight="1">
      <c r="C158" s="1">
        <f t="shared" si="17"/>
        <v>22</v>
      </c>
      <c r="D158" s="23"/>
      <c r="E158" s="22"/>
      <c r="H158" s="2">
        <f>IF($H$134=1," ",D158)</f>
        <v>0</v>
      </c>
      <c r="I158" s="2" t="str">
        <f>IF($H$134=1,D158," ")</f>
        <v xml:space="preserve"> </v>
      </c>
      <c r="J158" s="2"/>
    </row>
    <row r="159" spans="3:10" ht="9.9499999999999993" customHeight="1">
      <c r="C159" s="1">
        <f t="shared" si="17"/>
        <v>23</v>
      </c>
      <c r="D159" s="23"/>
      <c r="E159" s="22"/>
      <c r="H159" s="2" t="str">
        <f>IF($H$134=1,D159," ")</f>
        <v xml:space="preserve"> </v>
      </c>
      <c r="I159" s="2">
        <f>IF($H$134=1," ",D159)</f>
        <v>0</v>
      </c>
      <c r="J159" s="2"/>
    </row>
    <row r="160" spans="3:10" ht="9.9499999999999993" customHeight="1">
      <c r="C160" s="1">
        <f t="shared" si="17"/>
        <v>24</v>
      </c>
      <c r="D160" s="23"/>
      <c r="E160" s="22"/>
      <c r="H160" s="2"/>
      <c r="I160" s="2" t="str">
        <f>IF($H$134=1,D160," ")</f>
        <v xml:space="preserve"> </v>
      </c>
      <c r="J160" s="2">
        <f>IF($H$134=1," ",D160)</f>
        <v>0</v>
      </c>
    </row>
    <row r="161" spans="4:10" ht="9.9499999999999993" customHeight="1">
      <c r="D161" s="3"/>
      <c r="E161" s="3"/>
    </row>
    <row r="162" spans="4:10" ht="9.9499999999999993" customHeight="1">
      <c r="D162" s="57">
        <f>SUM(D137:D160)</f>
        <v>0</v>
      </c>
      <c r="E162" s="57">
        <f>SUM(E137:E160)</f>
        <v>0</v>
      </c>
      <c r="H162" s="1">
        <f>SUM(H137:H160)</f>
        <v>0</v>
      </c>
      <c r="I162" s="1">
        <f>SUM(I137:I160)</f>
        <v>0</v>
      </c>
      <c r="J162" s="1">
        <f>SUM(J137:J160)</f>
        <v>0</v>
      </c>
    </row>
    <row r="164" spans="4:10" ht="9.9499999999999993" customHeight="1">
      <c r="E164" s="3"/>
    </row>
    <row r="165" spans="4:10" ht="9.9499999999999993" customHeight="1">
      <c r="E165" s="3"/>
      <c r="H165" s="1">
        <f>MAX(H162:J162)</f>
        <v>0</v>
      </c>
    </row>
    <row r="166" spans="4:10" ht="9.9499999999999993" customHeight="1">
      <c r="E166" s="57">
        <f>MAX(D162:E162)</f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E308"/>
  <sheetViews>
    <sheetView showGridLines="0" showRowColHeaders="0" workbookViewId="0"/>
  </sheetViews>
  <sheetFormatPr defaultColWidth="0" defaultRowHeight="12" customHeight="1" zeroHeight="1"/>
  <cols>
    <col min="1" max="1" width="2.140625" style="436" customWidth="1"/>
    <col min="2" max="2" width="2.7109375" style="436" customWidth="1"/>
    <col min="3" max="3" width="3.85546875" style="436" customWidth="1"/>
    <col min="4" max="4" width="38.42578125" style="436" customWidth="1"/>
    <col min="5" max="5" width="8" style="436" customWidth="1"/>
    <col min="6" max="6" width="3.28515625" style="436" customWidth="1"/>
    <col min="7" max="7" width="4.140625" style="436" customWidth="1"/>
    <col min="8" max="8" width="8" style="436" customWidth="1"/>
    <col min="9" max="9" width="3.28515625" style="436" customWidth="1"/>
    <col min="10" max="10" width="4.28515625" style="436" customWidth="1"/>
    <col min="11" max="11" width="8" style="436" customWidth="1"/>
    <col min="12" max="12" width="4.85546875" style="436" customWidth="1"/>
    <col min="13" max="13" width="12.5703125" style="436" customWidth="1"/>
    <col min="14" max="14" width="12.7109375" style="436" customWidth="1"/>
    <col min="15" max="15" width="2.140625" style="436" customWidth="1"/>
    <col min="16" max="17" width="2.42578125" style="436" hidden="1" customWidth="1"/>
    <col min="18" max="213" width="9.28515625" style="436" hidden="1" customWidth="1"/>
    <col min="214" max="16384" width="0" style="436" hidden="1"/>
  </cols>
  <sheetData>
    <row r="1" spans="1:49" ht="14.1" customHeight="1">
      <c r="P1" s="437"/>
      <c r="S1" s="436" t="s">
        <v>689</v>
      </c>
      <c r="T1" s="511">
        <f>Input!D10</f>
        <v>2014</v>
      </c>
      <c r="U1" s="436">
        <f>T1</f>
        <v>2014</v>
      </c>
      <c r="V1" s="436" t="e">
        <f>NUTRAL_SIZE</f>
        <v>#NAME?</v>
      </c>
    </row>
    <row r="2" spans="1:49" ht="14.1" customHeight="1">
      <c r="A2" s="444"/>
      <c r="B2" s="443" t="s">
        <v>802</v>
      </c>
      <c r="C2" s="441"/>
      <c r="D2" s="441"/>
      <c r="E2" s="444"/>
      <c r="F2" s="445"/>
      <c r="G2" s="441"/>
      <c r="H2" s="441" t="s">
        <v>35</v>
      </c>
      <c r="I2" s="440"/>
      <c r="J2" s="440"/>
      <c r="K2" s="436" t="str">
        <f>IF(ISBLANK(Input!D4)=TRUE,"",Input!D4)</f>
        <v>SAMPLE PROJECT</v>
      </c>
      <c r="L2" s="454"/>
      <c r="M2" s="448"/>
      <c r="N2" s="448"/>
      <c r="O2" s="440"/>
      <c r="P2" s="444"/>
      <c r="Y2" s="436" t="s">
        <v>749</v>
      </c>
      <c r="Z2" s="440" t="s">
        <v>349</v>
      </c>
      <c r="AA2" s="440" t="s">
        <v>366</v>
      </c>
      <c r="AB2" s="440" t="s">
        <v>750</v>
      </c>
      <c r="AC2" s="440" t="s">
        <v>199</v>
      </c>
      <c r="AE2" s="436" t="s">
        <v>749</v>
      </c>
      <c r="AF2" s="440" t="s">
        <v>349</v>
      </c>
      <c r="AG2" s="440" t="s">
        <v>366</v>
      </c>
      <c r="AH2" s="440" t="s">
        <v>750</v>
      </c>
      <c r="AI2" s="440" t="s">
        <v>199</v>
      </c>
      <c r="AK2" s="436" t="s">
        <v>749</v>
      </c>
      <c r="AL2" s="440" t="s">
        <v>349</v>
      </c>
      <c r="AM2" s="440" t="s">
        <v>366</v>
      </c>
      <c r="AN2" s="440" t="s">
        <v>750</v>
      </c>
      <c r="AO2" s="440" t="s">
        <v>199</v>
      </c>
    </row>
    <row r="3" spans="1:49" ht="14.1" customHeight="1">
      <c r="A3" s="444"/>
      <c r="B3" s="441" t="str">
        <f>IF(U1=2002,"BASED ON THE 2002 NEC",IF(U1=2005,"BASED ON THE 2005 NEC","BASED ON THE 2023 NEC"))</f>
        <v>BASED ON THE 2023 NEC</v>
      </c>
      <c r="C3" s="442"/>
      <c r="D3" s="443"/>
      <c r="E3" s="444"/>
      <c r="F3" s="445"/>
      <c r="G3" s="446"/>
      <c r="H3" s="445"/>
      <c r="I3" s="440"/>
      <c r="J3" s="440"/>
      <c r="L3" s="447"/>
      <c r="M3" s="448"/>
      <c r="N3" s="448"/>
      <c r="O3" s="448"/>
      <c r="P3" s="444"/>
      <c r="T3" s="436" t="s">
        <v>751</v>
      </c>
      <c r="U3" s="454" t="s">
        <v>252</v>
      </c>
      <c r="X3" s="450" t="s">
        <v>752</v>
      </c>
      <c r="Y3" s="450" t="s">
        <v>753</v>
      </c>
      <c r="Z3" s="509">
        <f>AF3</f>
        <v>0</v>
      </c>
      <c r="AA3" s="509">
        <f>AG3</f>
        <v>0</v>
      </c>
      <c r="AB3" s="450"/>
      <c r="AC3" s="450">
        <f>SUM(Z3:AB3)</f>
        <v>0</v>
      </c>
      <c r="AE3" s="436" t="s">
        <v>753</v>
      </c>
      <c r="AF3" s="449">
        <f>'Com Loads'!I18</f>
        <v>0</v>
      </c>
      <c r="AG3" s="449">
        <f>'Com Loads'!J18</f>
        <v>0</v>
      </c>
      <c r="AH3" s="449">
        <f>'Com Loads'!K18</f>
        <v>0</v>
      </c>
      <c r="AI3" s="436">
        <f>SUM(AF3:AH3)</f>
        <v>0</v>
      </c>
      <c r="AK3" s="436" t="s">
        <v>753</v>
      </c>
      <c r="AL3" s="449">
        <f>AF3</f>
        <v>0</v>
      </c>
      <c r="AM3" s="449">
        <f>AG3</f>
        <v>0</v>
      </c>
      <c r="AN3" s="449">
        <f>AH3</f>
        <v>0</v>
      </c>
      <c r="AO3" s="436">
        <f>SUM(AL3:AN3)</f>
        <v>0</v>
      </c>
    </row>
    <row r="4" spans="1:49" ht="14.1" customHeight="1">
      <c r="A4" s="444"/>
      <c r="B4" s="451" t="str">
        <f>IF(S9&gt;0,"",IF(S8&gt;0,"TEMPLATES NEED TO BE UPDATED",""))</f>
        <v/>
      </c>
      <c r="C4" s="451"/>
      <c r="D4" s="443"/>
      <c r="E4" s="440" t="s">
        <v>349</v>
      </c>
      <c r="G4" s="444"/>
      <c r="H4" s="440" t="s">
        <v>366</v>
      </c>
      <c r="I4" s="440"/>
      <c r="J4" s="440"/>
      <c r="K4" s="440" t="str">
        <f>IF(U7=1,"","L3")</f>
        <v>L3</v>
      </c>
      <c r="L4" s="440"/>
      <c r="M4" s="440"/>
      <c r="N4" s="448"/>
      <c r="O4" s="448"/>
      <c r="P4" s="444"/>
      <c r="T4" s="436" t="s">
        <v>754</v>
      </c>
      <c r="U4" s="457">
        <v>0</v>
      </c>
      <c r="V4" s="441"/>
      <c r="W4" s="441"/>
      <c r="X4" s="452"/>
      <c r="Y4" s="452"/>
      <c r="Z4" s="452"/>
      <c r="AA4" s="452"/>
      <c r="AB4" s="452"/>
      <c r="AC4" s="452">
        <v>0</v>
      </c>
      <c r="AF4" s="436">
        <v>10000</v>
      </c>
      <c r="AH4" s="436">
        <v>10000</v>
      </c>
      <c r="AL4" s="436">
        <v>10000</v>
      </c>
      <c r="AM4" s="436">
        <v>10000</v>
      </c>
      <c r="AN4" s="436">
        <v>10000</v>
      </c>
      <c r="AT4" s="436" t="s">
        <v>756</v>
      </c>
    </row>
    <row r="5" spans="1:49" ht="14.1" customHeight="1">
      <c r="A5" s="444"/>
      <c r="B5" s="451" t="str">
        <f>IF(U1=2002,"COMPUTED LOAD ( NEC 215.5 )","CALCULATED LOAD ( NEC 215.5 )")</f>
        <v>CALCULATED LOAD ( NEC 215.5 )</v>
      </c>
      <c r="C5" s="451"/>
      <c r="D5" s="443"/>
      <c r="E5" s="448">
        <f>'Com Loads'!C18</f>
        <v>0</v>
      </c>
      <c r="F5" s="444" t="s">
        <v>735</v>
      </c>
      <c r="G5" s="444"/>
      <c r="H5" s="448">
        <f>'Com Loads'!D18</f>
        <v>0</v>
      </c>
      <c r="I5" s="444" t="s">
        <v>735</v>
      </c>
      <c r="J5" s="440"/>
      <c r="K5" s="448">
        <f>IF(U7=1,"",'Com Loads'!E18)</f>
        <v>0</v>
      </c>
      <c r="L5" s="441" t="str">
        <f>IF(U7=1,"","VA")</f>
        <v>VA</v>
      </c>
      <c r="M5" s="440"/>
      <c r="N5" s="448"/>
      <c r="O5" s="453"/>
      <c r="P5" s="444"/>
      <c r="R5" s="436">
        <v>0</v>
      </c>
      <c r="S5" s="454">
        <v>0</v>
      </c>
      <c r="U5" s="441"/>
      <c r="V5" s="441"/>
      <c r="W5" s="441"/>
      <c r="Z5" s="454">
        <f>Z3</f>
        <v>0</v>
      </c>
      <c r="AA5" s="454">
        <f>AA3</f>
        <v>0</v>
      </c>
      <c r="AC5" s="436">
        <f>SUM(Z5:AB5)</f>
        <v>0</v>
      </c>
    </row>
    <row r="6" spans="1:49" ht="14.1" customHeight="1">
      <c r="A6" s="444"/>
      <c r="B6" s="451" t="str">
        <f>IF(U4&gt;0,"ERROR IN SUB PANEL",IF(S6&gt;0,"LOAD CALCULATIONS WILL NOT DISPLAY UNTIL ALL ERRORS ARE CORRECTED"," "))</f>
        <v xml:space="preserve"> </v>
      </c>
      <c r="C6" s="441"/>
      <c r="D6" s="455"/>
      <c r="E6" s="448"/>
      <c r="F6" s="456"/>
      <c r="G6" s="456"/>
      <c r="H6" s="448"/>
      <c r="I6" s="454"/>
      <c r="J6" s="454"/>
      <c r="K6" s="448"/>
      <c r="L6" s="457"/>
      <c r="M6" s="448"/>
      <c r="N6" s="448"/>
      <c r="O6" s="457"/>
      <c r="P6" s="444"/>
      <c r="S6" s="454">
        <f>Calcs!M2</f>
        <v>0</v>
      </c>
      <c r="T6" s="454">
        <v>0</v>
      </c>
      <c r="Z6" s="436">
        <v>10000</v>
      </c>
      <c r="AA6" s="436">
        <v>10000</v>
      </c>
      <c r="AE6" s="436" t="s">
        <v>757</v>
      </c>
      <c r="AF6" s="436" t="e">
        <f>AF3/AI3</f>
        <v>#DIV/0!</v>
      </c>
      <c r="AH6" s="436" t="e">
        <f>AH3/AI3</f>
        <v>#DIV/0!</v>
      </c>
      <c r="AI6" s="436" t="e">
        <f>SUM(AF6:AH6)</f>
        <v>#DIV/0!</v>
      </c>
      <c r="AK6" s="436" t="s">
        <v>411</v>
      </c>
      <c r="AL6" s="436" t="e">
        <f>AL3/AO3</f>
        <v>#DIV/0!</v>
      </c>
      <c r="AM6" s="436" t="e">
        <f>AM3/AO3</f>
        <v>#DIV/0!</v>
      </c>
      <c r="AN6" s="436" t="e">
        <f>AN3/AO3</f>
        <v>#DIV/0!</v>
      </c>
      <c r="AO6" s="436" t="e">
        <f>SUM(AL6:AN6)</f>
        <v>#DIV/0!</v>
      </c>
      <c r="AR6" s="436" t="str">
        <f>IF(AND(U7=1,U16="3D"),"3D"," ")</f>
        <v xml:space="preserve"> </v>
      </c>
      <c r="AU6" s="436" t="s">
        <v>349</v>
      </c>
      <c r="AV6" s="436" t="s">
        <v>366</v>
      </c>
      <c r="AW6" s="436" t="s">
        <v>750</v>
      </c>
    </row>
    <row r="7" spans="1:49" ht="14.1" customHeight="1">
      <c r="A7" s="444"/>
      <c r="B7" s="451" t="str">
        <f>IF(S5&gt;0,"SELECT CODE YEAR ON INPUT TAB",IF(U1=2002,"COMPUTED LOAD WITH DEMAND FACTORS ( NEC 215.5 )","CALCULATED LOAD WITH DEMAND FACTORS ( NEC 215.5 )"))</f>
        <v>CALCULATED LOAD WITH DEMAND FACTORS ( NEC 215.5 )</v>
      </c>
      <c r="C7" s="441"/>
      <c r="D7" s="455"/>
      <c r="E7" s="448"/>
      <c r="F7" s="456"/>
      <c r="G7" s="456"/>
      <c r="H7" s="448"/>
      <c r="I7" s="454"/>
      <c r="J7" s="454"/>
      <c r="K7" s="448"/>
      <c r="L7" s="457"/>
      <c r="M7" s="448"/>
      <c r="N7" s="448"/>
      <c r="O7" s="457"/>
      <c r="P7" s="444"/>
      <c r="R7" s="454"/>
      <c r="T7" s="436" t="s">
        <v>41</v>
      </c>
      <c r="U7" s="510" t="str">
        <f>Input!D11</f>
        <v>3Y</v>
      </c>
      <c r="V7" s="448"/>
      <c r="W7" s="448"/>
      <c r="Y7" s="436" t="s">
        <v>365</v>
      </c>
      <c r="Z7" s="436" t="e">
        <f>Z5/AC5</f>
        <v>#DIV/0!</v>
      </c>
      <c r="AA7" s="436" t="e">
        <f>AA5/AC5</f>
        <v>#DIV/0!</v>
      </c>
      <c r="AC7" s="436" t="e">
        <f>SUM(Z7:AB7)</f>
        <v>#DIV/0!</v>
      </c>
      <c r="AF7" s="436" t="e">
        <f>ROUND((AF4*AF6),0)</f>
        <v>#DIV/0!</v>
      </c>
      <c r="AH7" s="436" t="e">
        <f>ROUND((AH4*AH6),0)</f>
        <v>#DIV/0!</v>
      </c>
      <c r="AI7" s="436" t="e">
        <f>SUM(AF7:AH7)</f>
        <v>#DIV/0!</v>
      </c>
      <c r="AL7" s="436" t="e">
        <f>ROUND((AL4*AL6),0)</f>
        <v>#DIV/0!</v>
      </c>
      <c r="AM7" s="436" t="e">
        <f>ROUND((AM4*AM6),0)</f>
        <v>#DIV/0!</v>
      </c>
      <c r="AN7" s="436" t="e">
        <f>ROUND((AN4*AN6),0)</f>
        <v>#DIV/0!</v>
      </c>
      <c r="AO7" s="436" t="e">
        <f>SUM(AL7:AN7)</f>
        <v>#DIV/0!</v>
      </c>
      <c r="AR7" s="458" t="str">
        <f>IF(AND(U7=1,U16="3D"),"3D",IF(U7=1,1," "))</f>
        <v xml:space="preserve"> </v>
      </c>
      <c r="AS7" s="459"/>
      <c r="AT7" s="459" t="s">
        <v>365</v>
      </c>
      <c r="AU7" s="459"/>
      <c r="AV7" s="459"/>
      <c r="AW7" s="460"/>
    </row>
    <row r="8" spans="1:49" ht="14.1" customHeight="1">
      <c r="A8" s="444"/>
      <c r="B8" s="451"/>
      <c r="C8" s="441" t="s">
        <v>737</v>
      </c>
      <c r="D8" s="455"/>
      <c r="E8" s="448">
        <f>'Com Loads'!F18</f>
        <v>0</v>
      </c>
      <c r="F8" s="453" t="s">
        <v>735</v>
      </c>
      <c r="G8" s="456"/>
      <c r="H8" s="448">
        <f>'Com Loads'!G18</f>
        <v>0</v>
      </c>
      <c r="I8" s="454" t="s">
        <v>735</v>
      </c>
      <c r="J8" s="454"/>
      <c r="K8" s="448">
        <f>IF(U7=1,"",'Com Loads'!H18)</f>
        <v>0</v>
      </c>
      <c r="L8" s="457" t="str">
        <f>IF(U7=1,"","VA")</f>
        <v>VA</v>
      </c>
      <c r="M8" s="448"/>
      <c r="N8" s="448"/>
      <c r="O8" s="453"/>
      <c r="P8" s="444"/>
      <c r="R8" s="454" t="s">
        <v>808</v>
      </c>
      <c r="S8" s="436">
        <f>Calcs!M6</f>
        <v>0</v>
      </c>
      <c r="T8" s="436" t="s">
        <v>758</v>
      </c>
      <c r="U8" s="510">
        <f>Input!D12</f>
        <v>208</v>
      </c>
      <c r="V8" s="448"/>
      <c r="W8" s="448"/>
      <c r="Z8" s="436" t="e">
        <f>ROUND((Z6*Z7),0)</f>
        <v>#DIV/0!</v>
      </c>
      <c r="AA8" s="436" t="e">
        <f>ROUND((AA6*AA7),0)</f>
        <v>#DIV/0!</v>
      </c>
      <c r="AC8" s="436" t="e">
        <f>SUM(Z8:AB8)</f>
        <v>#DIV/0!</v>
      </c>
      <c r="AE8" s="461" t="s">
        <v>759</v>
      </c>
      <c r="AF8" s="462">
        <f>IF(AI3&gt;10000,AF7,AF3)</f>
        <v>0</v>
      </c>
      <c r="AG8" s="462"/>
      <c r="AH8" s="463">
        <f>IF(AI3&gt;10000,AH7,AH3)</f>
        <v>0</v>
      </c>
      <c r="AI8" s="436">
        <f>SUM(AF8:AH8)</f>
        <v>0</v>
      </c>
      <c r="AK8" s="461" t="s">
        <v>759</v>
      </c>
      <c r="AL8" s="462">
        <f>IF(AO3&gt;10000,AL7,AL3)</f>
        <v>0</v>
      </c>
      <c r="AM8" s="462">
        <f>IF(AO3&gt;10000,AM7,AM3)</f>
        <v>0</v>
      </c>
      <c r="AN8" s="463">
        <f>IF(AO3&gt;10000,AN7,AN3)</f>
        <v>0</v>
      </c>
      <c r="AO8" s="436">
        <f>SUM(AL8:AN8)</f>
        <v>0</v>
      </c>
      <c r="AR8" s="464"/>
      <c r="AS8" s="450"/>
      <c r="AT8" s="450" t="s">
        <v>757</v>
      </c>
      <c r="AU8" s="450"/>
      <c r="AV8" s="450"/>
      <c r="AW8" s="465"/>
    </row>
    <row r="9" spans="1:49" ht="14.1" customHeight="1">
      <c r="A9" s="444"/>
      <c r="B9" s="451"/>
      <c r="C9" s="441" t="str">
        <f>IF(U1=2002,"RECEPTACLE LOAD (NEC TABLE 220.13)","RECEPTACLE LOAD (NEC TABLE 220.44)")</f>
        <v>RECEPTACLE LOAD (NEC TABLE 220.44)</v>
      </c>
      <c r="D9" s="455"/>
      <c r="E9" s="448"/>
      <c r="F9" s="466"/>
      <c r="G9" s="456"/>
      <c r="H9" s="448"/>
      <c r="I9" s="454"/>
      <c r="J9" s="454"/>
      <c r="K9" s="448"/>
      <c r="L9" s="457"/>
      <c r="M9" s="448"/>
      <c r="N9" s="448"/>
      <c r="O9" s="457"/>
      <c r="P9" s="444"/>
      <c r="R9" s="436" t="s">
        <v>809</v>
      </c>
      <c r="S9" s="436">
        <f>Calcs!N6</f>
        <v>0</v>
      </c>
      <c r="T9" s="436" t="s">
        <v>760</v>
      </c>
      <c r="U9" s="510">
        <f>Input!D13</f>
        <v>120</v>
      </c>
      <c r="V9" s="448"/>
      <c r="W9" s="448"/>
      <c r="Y9" s="461" t="s">
        <v>759</v>
      </c>
      <c r="Z9" s="462">
        <f>IF(AC5&gt;10000,Z8,Z5)</f>
        <v>0</v>
      </c>
      <c r="AA9" s="463">
        <f>IF(AC5&gt;10000,AA8,AA5)</f>
        <v>0</v>
      </c>
      <c r="AC9" s="436">
        <f>SUM(Z9:AB9)</f>
        <v>0</v>
      </c>
      <c r="AE9" s="461" t="str">
        <f>IF(AI3&gt;10000,"REMAINDER @ 50%"," ")</f>
        <v xml:space="preserve"> </v>
      </c>
      <c r="AF9" s="462" t="str">
        <f>IF(AI3&gt;10000,ROUND((AF3-AF7)*0.5,0)," ")</f>
        <v xml:space="preserve"> </v>
      </c>
      <c r="AG9" s="462"/>
      <c r="AH9" s="463" t="str">
        <f>IF(AI3&gt;10000,ROUND((AH3-AH7)*0.5,0)," ")</f>
        <v xml:space="preserve"> </v>
      </c>
      <c r="AI9" s="436">
        <f>SUM(AF9:AH9)</f>
        <v>0</v>
      </c>
      <c r="AK9" s="461" t="str">
        <f>IF(AO3&gt;10000,"REMAINDER @ 50%"," ")</f>
        <v xml:space="preserve"> </v>
      </c>
      <c r="AL9" s="462" t="str">
        <f>IF(AO3&gt;10000,ROUND((AL3-AL7)*0.5,0)," ")</f>
        <v xml:space="preserve"> </v>
      </c>
      <c r="AM9" s="462" t="str">
        <f>IF(AO3&gt;10000,ROUND((AM3-AM7)*0.5,0)," ")</f>
        <v xml:space="preserve"> </v>
      </c>
      <c r="AN9" s="463" t="str">
        <f>IF(AO3&gt;10000,ROUND((AN3-AN7)*0.5,0)," ")</f>
        <v xml:space="preserve"> </v>
      </c>
      <c r="AO9" s="436">
        <f>SUM(AL9:AN9)</f>
        <v>0</v>
      </c>
      <c r="AR9" s="467"/>
      <c r="AS9" s="468"/>
      <c r="AT9" s="468" t="s">
        <v>411</v>
      </c>
      <c r="AU9" s="468"/>
      <c r="AV9" s="468"/>
      <c r="AW9" s="469"/>
    </row>
    <row r="10" spans="1:49" ht="14.1" customHeight="1">
      <c r="A10" s="444"/>
      <c r="B10" s="451"/>
      <c r="C10" s="441"/>
      <c r="D10" s="455" t="s">
        <v>761</v>
      </c>
      <c r="E10" s="448">
        <f>IF(U7=1,Z9,AL8)</f>
        <v>0</v>
      </c>
      <c r="F10" s="454" t="s">
        <v>735</v>
      </c>
      <c r="G10" s="456"/>
      <c r="H10" s="448">
        <f>IF(U7=1,AA9,AM8)</f>
        <v>0</v>
      </c>
      <c r="I10" s="454" t="s">
        <v>735</v>
      </c>
      <c r="J10" s="454"/>
      <c r="K10" s="448">
        <f>IF(U7=1,"",AN8)</f>
        <v>0</v>
      </c>
      <c r="L10" s="457" t="str">
        <f>IF(U7=1,"","VA")</f>
        <v>VA</v>
      </c>
      <c r="M10" s="448"/>
      <c r="N10" s="448"/>
      <c r="O10" s="453"/>
      <c r="P10" s="444"/>
      <c r="T10" s="436" t="s">
        <v>762</v>
      </c>
      <c r="U10" s="449">
        <f>'Com Loads'!L35</f>
        <v>0</v>
      </c>
      <c r="V10" s="470"/>
      <c r="W10" s="471"/>
      <c r="Y10" s="461" t="str">
        <f>IF(AC3&gt;10000,"REMAINDER @ 50%"," ")</f>
        <v xml:space="preserve"> </v>
      </c>
      <c r="Z10" s="462" t="str">
        <f>IF(AC3&gt;10000,ROUND((Z5-Z8)*0.5,0)," ")</f>
        <v xml:space="preserve"> </v>
      </c>
      <c r="AA10" s="463" t="str">
        <f>IF(AC3&gt;10000,ROUND((AA5-AA8)*0.5,0)," ")</f>
        <v xml:space="preserve"> </v>
      </c>
      <c r="AC10" s="436">
        <f>SUM(Z10:AB10)</f>
        <v>0</v>
      </c>
    </row>
    <row r="11" spans="1:49" ht="14.1" customHeight="1">
      <c r="A11" s="444"/>
      <c r="B11" s="451"/>
      <c r="C11" s="441"/>
      <c r="D11" s="455" t="str">
        <f>IF(AE14&gt;9999.999,"REMAINDER @ 50%","")</f>
        <v/>
      </c>
      <c r="E11" s="448" t="str">
        <f>IF(U7=1,Z10,AL9)</f>
        <v xml:space="preserve"> </v>
      </c>
      <c r="F11" s="466" t="str">
        <f>IF(E11=" "," ","VA")</f>
        <v xml:space="preserve"> </v>
      </c>
      <c r="G11" s="456"/>
      <c r="H11" s="448" t="str">
        <f>IF(U7=1,AA10,AM9)</f>
        <v xml:space="preserve"> </v>
      </c>
      <c r="I11" s="466" t="str">
        <f>IF(H11=" "," ","VA")</f>
        <v xml:space="preserve"> </v>
      </c>
      <c r="J11" s="454"/>
      <c r="K11" s="448" t="str">
        <f>IF(U7=1,"",AN9)</f>
        <v xml:space="preserve"> </v>
      </c>
      <c r="L11" s="513" t="str">
        <f>IF(K11=" "," ",IF(U7=1,"","VA"))</f>
        <v xml:space="preserve"> </v>
      </c>
      <c r="M11" s="448"/>
      <c r="N11" s="448"/>
      <c r="O11" s="453"/>
      <c r="P11" s="444"/>
      <c r="T11" s="436" t="s">
        <v>763</v>
      </c>
      <c r="U11" s="512" t="s">
        <v>446</v>
      </c>
      <c r="V11" s="440"/>
      <c r="W11" s="440"/>
    </row>
    <row r="12" spans="1:49" ht="14.1" customHeight="1">
      <c r="A12" s="444"/>
      <c r="B12" s="451"/>
      <c r="C12" s="441" t="s">
        <v>764</v>
      </c>
      <c r="D12" s="455"/>
      <c r="E12" s="448">
        <f>'Com Loads'!L18</f>
        <v>0</v>
      </c>
      <c r="F12" s="466" t="s">
        <v>735</v>
      </c>
      <c r="G12" s="456"/>
      <c r="H12" s="448">
        <f>'Com Loads'!M18</f>
        <v>0</v>
      </c>
      <c r="I12" s="454" t="s">
        <v>735</v>
      </c>
      <c r="J12" s="454"/>
      <c r="K12" s="448">
        <f>IF(U7=1,"",'Com Loads'!N18)</f>
        <v>0</v>
      </c>
      <c r="L12" s="457" t="str">
        <f>IF(U7=1,"","VA")</f>
        <v>VA</v>
      </c>
      <c r="M12" s="448"/>
      <c r="N12" s="448"/>
      <c r="O12" s="453"/>
      <c r="P12" s="444"/>
      <c r="T12" s="436" t="s">
        <v>765</v>
      </c>
      <c r="U12" s="512" t="s">
        <v>797</v>
      </c>
      <c r="V12" s="440"/>
      <c r="W12" s="440"/>
      <c r="Y12" s="436" t="s">
        <v>744</v>
      </c>
      <c r="Z12" s="436">
        <v>1</v>
      </c>
      <c r="AA12" s="436">
        <v>1</v>
      </c>
      <c r="AK12" s="472" t="s">
        <v>308</v>
      </c>
      <c r="AL12" s="473"/>
      <c r="AM12" s="473"/>
      <c r="AN12" s="474"/>
      <c r="AR12" s="475" t="s">
        <v>755</v>
      </c>
      <c r="AS12" s="476"/>
      <c r="AT12" s="476"/>
      <c r="AU12" s="476"/>
      <c r="AV12" s="476"/>
      <c r="AW12" s="477"/>
    </row>
    <row r="13" spans="1:49" ht="14.1" customHeight="1">
      <c r="A13" s="444"/>
      <c r="B13" s="451"/>
      <c r="C13" s="441"/>
      <c r="D13" s="455" t="str">
        <f>IF(AND(T1=2008,U11="FULL"),"PLUS 25%",IF(T1=2008,"PLUS 25% (L1, L2, L3)","PLUS 25%"))</f>
        <v>PLUS 25%</v>
      </c>
      <c r="E13" s="448">
        <f>ROUND(E12*0.25,0)</f>
        <v>0</v>
      </c>
      <c r="F13" s="466" t="s">
        <v>735</v>
      </c>
      <c r="G13" s="456"/>
      <c r="H13" s="448">
        <f>ROUND(H12*0.25,0)</f>
        <v>0</v>
      </c>
      <c r="I13" s="466" t="s">
        <v>735</v>
      </c>
      <c r="J13" s="454"/>
      <c r="K13" s="448">
        <f>IF(U7=1,"",ROUND(K12*0.25,0))</f>
        <v>0</v>
      </c>
      <c r="L13" s="457" t="str">
        <f>IF(U7=1,"","VA")</f>
        <v>VA</v>
      </c>
      <c r="M13" s="448"/>
      <c r="N13" s="448"/>
      <c r="O13" s="453"/>
      <c r="P13" s="444"/>
      <c r="T13" s="436" t="s">
        <v>766</v>
      </c>
      <c r="U13" s="512" t="s">
        <v>798</v>
      </c>
      <c r="Y13" s="436" t="s">
        <v>135</v>
      </c>
      <c r="Z13" s="436">
        <v>2</v>
      </c>
      <c r="AA13" s="436">
        <v>1</v>
      </c>
      <c r="AK13" s="478" t="s">
        <v>737</v>
      </c>
      <c r="AL13" s="454"/>
      <c r="AM13" s="454"/>
      <c r="AN13" s="479"/>
      <c r="AR13" s="480"/>
      <c r="AS13" s="452"/>
      <c r="AT13" s="452"/>
      <c r="AU13" s="452"/>
      <c r="AV13" s="452"/>
      <c r="AW13" s="481"/>
    </row>
    <row r="14" spans="1:49" ht="14.1" customHeight="1">
      <c r="A14" s="444"/>
      <c r="B14" s="451"/>
      <c r="C14" s="441"/>
      <c r="D14" s="455" t="str">
        <f>IF(U11="NONE","",IF(U$11="MINIMUM","",IF(T1=2008,"0% (NEUTRAL) NEC 215.2(A) EX NO. 2","")))</f>
        <v/>
      </c>
      <c r="E14" s="448"/>
      <c r="F14" s="466"/>
      <c r="G14" s="456"/>
      <c r="H14" s="448"/>
      <c r="I14" s="466"/>
      <c r="J14" s="454"/>
      <c r="K14" s="448"/>
      <c r="L14" s="457"/>
      <c r="M14" s="448"/>
      <c r="N14" s="448"/>
      <c r="O14" s="453"/>
      <c r="P14" s="444"/>
      <c r="T14" s="436" t="s">
        <v>767</v>
      </c>
      <c r="U14" s="510" t="str">
        <f>Input!D25</f>
        <v>YES</v>
      </c>
      <c r="Z14" s="436">
        <v>3</v>
      </c>
      <c r="AA14" s="436">
        <v>0.9</v>
      </c>
      <c r="AC14" s="436">
        <f>SUM(Z3:AB4)</f>
        <v>0</v>
      </c>
      <c r="AE14" s="511">
        <f>IF(U7=1,AC3,AO3)</f>
        <v>0</v>
      </c>
      <c r="AK14" s="478" t="s">
        <v>738</v>
      </c>
      <c r="AN14" s="482"/>
      <c r="AR14" s="483"/>
      <c r="AS14" s="484"/>
      <c r="AT14" s="484"/>
      <c r="AU14" s="484"/>
      <c r="AV14" s="484"/>
      <c r="AW14" s="485"/>
    </row>
    <row r="15" spans="1:49" ht="14.1" customHeight="1">
      <c r="A15" s="444"/>
      <c r="B15" s="451"/>
      <c r="C15" s="441" t="s">
        <v>768</v>
      </c>
      <c r="D15" s="455"/>
      <c r="E15" s="448">
        <f>'Com Loads'!C35</f>
        <v>0</v>
      </c>
      <c r="F15" s="466" t="s">
        <v>735</v>
      </c>
      <c r="G15" s="456"/>
      <c r="H15" s="448">
        <f>'Com Loads'!D35</f>
        <v>0</v>
      </c>
      <c r="I15" s="466" t="s">
        <v>735</v>
      </c>
      <c r="J15" s="454"/>
      <c r="K15" s="448">
        <f>IF(U7=1,"",'Com Loads'!E35)</f>
        <v>0</v>
      </c>
      <c r="L15" s="457" t="str">
        <f>IF(U7=1,"","VA")</f>
        <v>VA</v>
      </c>
      <c r="M15" s="448"/>
      <c r="N15" s="448"/>
      <c r="O15" s="453"/>
      <c r="P15" s="444"/>
      <c r="T15" s="436" t="s">
        <v>769</v>
      </c>
      <c r="U15" s="516" t="s">
        <v>543</v>
      </c>
      <c r="Z15" s="436">
        <v>4</v>
      </c>
      <c r="AA15" s="436">
        <v>0.8</v>
      </c>
      <c r="AK15" s="478" t="s">
        <v>736</v>
      </c>
      <c r="AL15" s="454"/>
      <c r="AM15" s="454"/>
      <c r="AN15" s="479"/>
      <c r="AR15" s="452"/>
      <c r="AS15" s="452"/>
      <c r="AT15" s="452"/>
      <c r="AU15" s="452"/>
      <c r="AV15" s="452"/>
      <c r="AW15" s="452"/>
    </row>
    <row r="16" spans="1:49" ht="14.1" customHeight="1">
      <c r="A16" s="444"/>
      <c r="B16" s="451"/>
      <c r="C16" s="441"/>
      <c r="D16" s="455" t="s">
        <v>770</v>
      </c>
      <c r="E16" s="448">
        <f>ROUND('Com Loads'!F35*0.25,0)</f>
        <v>0</v>
      </c>
      <c r="F16" s="466" t="s">
        <v>735</v>
      </c>
      <c r="G16" s="456"/>
      <c r="H16" s="448">
        <f>ROUND('Com Loads'!G35*0.25,0)</f>
        <v>0</v>
      </c>
      <c r="I16" s="466" t="s">
        <v>735</v>
      </c>
      <c r="J16" s="454"/>
      <c r="K16" s="448">
        <f>IF(U7=1,"",ROUND(('Com Loads'!H35*0.25),0))</f>
        <v>0</v>
      </c>
      <c r="L16" s="457" t="str">
        <f>IF(U7=1,"","VA")</f>
        <v>VA</v>
      </c>
      <c r="M16" s="448"/>
      <c r="N16" s="448"/>
      <c r="O16" s="453"/>
      <c r="P16" s="444"/>
      <c r="R16" s="454"/>
      <c r="T16" s="454" t="s">
        <v>771</v>
      </c>
      <c r="U16" s="517">
        <v>0</v>
      </c>
      <c r="Z16" s="436">
        <v>5</v>
      </c>
      <c r="AA16" s="436">
        <v>0.7</v>
      </c>
      <c r="AK16" s="478" t="s">
        <v>740</v>
      </c>
      <c r="AL16" s="454"/>
      <c r="AM16" s="454"/>
      <c r="AN16" s="479"/>
      <c r="AR16" s="452"/>
      <c r="AS16" s="452"/>
      <c r="AT16" s="452"/>
      <c r="AU16" s="452"/>
      <c r="AV16" s="452"/>
      <c r="AW16" s="452"/>
    </row>
    <row r="17" spans="1:62" ht="14.1" customHeight="1">
      <c r="A17" s="444"/>
      <c r="B17" s="451"/>
      <c r="C17" s="451" t="str">
        <f>IF(U1=2002,"KITCHEN LOADS (NEC 220.20)","KITCHEN LOADS (NEC 220.56)")</f>
        <v>KITCHEN LOADS (NEC 220.56)</v>
      </c>
      <c r="D17" s="455"/>
      <c r="E17" s="448"/>
      <c r="F17" s="466"/>
      <c r="G17" s="456"/>
      <c r="H17" s="448"/>
      <c r="I17" s="466"/>
      <c r="J17" s="454"/>
      <c r="K17" s="448"/>
      <c r="L17" s="457"/>
      <c r="M17" s="448"/>
      <c r="N17" s="448"/>
      <c r="O17" s="457"/>
      <c r="P17" s="444"/>
      <c r="T17" s="436" t="s">
        <v>41</v>
      </c>
      <c r="Z17" s="436">
        <v>6</v>
      </c>
      <c r="AA17" s="436">
        <v>0.65</v>
      </c>
      <c r="AK17" s="478" t="s">
        <v>762</v>
      </c>
      <c r="AN17" s="482"/>
      <c r="AR17" s="450"/>
      <c r="AS17" s="452"/>
      <c r="AT17" s="452"/>
      <c r="AU17" s="452"/>
      <c r="AV17" s="452"/>
      <c r="AW17" s="452"/>
    </row>
    <row r="18" spans="1:62" ht="14.1" customHeight="1">
      <c r="A18" s="444"/>
      <c r="B18" s="451"/>
      <c r="C18" s="451"/>
      <c r="D18" s="455" t="str">
        <f>AE20</f>
        <v xml:space="preserve">L1 ( 0 VA X 1 ) = </v>
      </c>
      <c r="E18" s="448">
        <f>ROUND(Z20*Y18,0)</f>
        <v>0</v>
      </c>
      <c r="F18" s="466" t="s">
        <v>735</v>
      </c>
      <c r="G18" s="456"/>
      <c r="H18" s="448"/>
      <c r="I18" s="466"/>
      <c r="J18" s="454"/>
      <c r="K18" s="448"/>
      <c r="L18" s="457"/>
      <c r="M18" s="448"/>
      <c r="N18" s="448"/>
      <c r="O18" s="453"/>
      <c r="P18" s="444"/>
      <c r="T18" s="436" t="s">
        <v>772</v>
      </c>
      <c r="U18" s="510" t="str">
        <f>Input!D26</f>
        <v>YES</v>
      </c>
      <c r="Y18" s="436">
        <f>IF('Com Loads'!L35=0,1,VLOOKUP('Com Loads'!L35,Z12:AA17,2))</f>
        <v>1</v>
      </c>
      <c r="AK18" s="478"/>
      <c r="AN18" s="482"/>
      <c r="AR18" s="452"/>
      <c r="AS18" s="452"/>
      <c r="AT18" s="452"/>
      <c r="AU18" s="452"/>
      <c r="AV18" s="452"/>
      <c r="AW18" s="452"/>
    </row>
    <row r="19" spans="1:62" ht="14.1" customHeight="1">
      <c r="A19" s="444"/>
      <c r="B19" s="451"/>
      <c r="C19" s="441"/>
      <c r="D19" s="455" t="str">
        <f>IF(AND(U7=1,U16="3D")," ",AE21)</f>
        <v xml:space="preserve">L2 ( 0 VA X 1 ) = </v>
      </c>
      <c r="E19" s="448"/>
      <c r="F19" s="466"/>
      <c r="G19" s="456"/>
      <c r="H19" s="448">
        <f>ROUND(Z21*Y18,0)</f>
        <v>0</v>
      </c>
      <c r="I19" s="454" t="s">
        <v>735</v>
      </c>
      <c r="J19" s="454"/>
      <c r="K19" s="448"/>
      <c r="L19" s="457"/>
      <c r="M19" s="448"/>
      <c r="N19" s="448"/>
      <c r="O19" s="453"/>
      <c r="P19" s="444"/>
      <c r="U19" s="436" t="s">
        <v>773</v>
      </c>
      <c r="AK19" s="487" t="s">
        <v>739</v>
      </c>
      <c r="AL19" s="488">
        <f>SUM(AL13:AL17)</f>
        <v>0</v>
      </c>
      <c r="AM19" s="488">
        <f>SUM(AM13:AM17)</f>
        <v>0</v>
      </c>
      <c r="AN19" s="489">
        <f>SUM(AN13:AN17)</f>
        <v>0</v>
      </c>
      <c r="AR19" s="452"/>
      <c r="AS19" s="452"/>
      <c r="AT19" s="452"/>
      <c r="AU19" s="452"/>
      <c r="AV19" s="452"/>
      <c r="AW19" s="452"/>
    </row>
    <row r="20" spans="1:62" ht="14.1" customHeight="1">
      <c r="A20" s="444"/>
      <c r="B20" s="451"/>
      <c r="C20" s="441"/>
      <c r="D20" s="455" t="str">
        <f>IF(AND(U7=1,U16&lt;&gt;"3D")," ",AE22)</f>
        <v xml:space="preserve">L3 ( 0 VA X 1 ) = </v>
      </c>
      <c r="E20" s="448"/>
      <c r="F20" s="466"/>
      <c r="G20" s="456"/>
      <c r="H20" s="518"/>
      <c r="I20" s="519"/>
      <c r="J20" s="454"/>
      <c r="K20" s="448">
        <f>IF(U7=1,"",ROUND(Z22*Y18,0))</f>
        <v>0</v>
      </c>
      <c r="L20" s="457" t="str">
        <f>IF(U7=1,"","VA")</f>
        <v>VA</v>
      </c>
      <c r="M20" s="448"/>
      <c r="N20" s="448"/>
      <c r="O20" s="453"/>
      <c r="P20" s="444"/>
      <c r="X20" s="440"/>
      <c r="Y20" s="436" t="s">
        <v>774</v>
      </c>
      <c r="Z20" s="454">
        <f>'Com Loads'!I35</f>
        <v>0</v>
      </c>
      <c r="AA20" s="436" t="str">
        <f>TEXT(Z20, "#,##0")</f>
        <v>0</v>
      </c>
      <c r="AB20" s="347" t="s">
        <v>796</v>
      </c>
      <c r="AC20" s="436">
        <f>IF(Z20=0,1,Y18)</f>
        <v>1</v>
      </c>
      <c r="AD20" s="436" t="s">
        <v>424</v>
      </c>
      <c r="AE20" s="436" t="str">
        <f>CONCATENATE(Y20,AA20,AB20,AC20,AD20)</f>
        <v xml:space="preserve">L1 ( 0 VA X 1 ) = </v>
      </c>
      <c r="AR20" s="452"/>
      <c r="AS20" s="452"/>
      <c r="AT20" s="452"/>
      <c r="AU20" s="452"/>
      <c r="AV20" s="452"/>
      <c r="AW20" s="452"/>
    </row>
    <row r="21" spans="1:62" ht="14.1" customHeight="1">
      <c r="A21" s="444"/>
      <c r="B21" s="451" t="str">
        <f>IF(U7=1," ","TOTAL BALANCED LOAD (3-PHASE)")</f>
        <v>TOTAL BALANCED LOAD (3-PHASE)</v>
      </c>
      <c r="C21" s="441"/>
      <c r="D21" s="455"/>
      <c r="E21" s="439">
        <f>IF(U7=1,0,MIN(U21:U23))</f>
        <v>0</v>
      </c>
      <c r="F21" s="490" t="s">
        <v>735</v>
      </c>
      <c r="G21" s="456"/>
      <c r="H21" s="448">
        <f>IF(U7=1,0,MIN(U21:U23))</f>
        <v>0</v>
      </c>
      <c r="I21" s="466" t="str">
        <f>IF(AND(U7=1,U16="3D")," ","VA")</f>
        <v>VA</v>
      </c>
      <c r="J21" s="454"/>
      <c r="K21" s="439">
        <f>IF(U7=1,"",IF(AND(U7=1,U16=1),0,MIN(U21:U23)))</f>
        <v>0</v>
      </c>
      <c r="L21" s="515" t="str">
        <f>IF(U7=1,"","VA")</f>
        <v>VA</v>
      </c>
      <c r="M21" s="448"/>
      <c r="N21" s="448"/>
      <c r="O21" s="457"/>
      <c r="P21" s="444"/>
      <c r="R21" s="454"/>
      <c r="T21" s="436" t="s">
        <v>349</v>
      </c>
      <c r="U21" s="454">
        <f>ROUND(SUM(E8:E20),0)</f>
        <v>0</v>
      </c>
      <c r="V21" s="454" t="str">
        <f>IF(U21-$E$21=0," ",U21-$E$21)</f>
        <v xml:space="preserve"> </v>
      </c>
      <c r="W21" s="454" t="str">
        <f>IF(V21=" "," ",IF(V21-V$24=0," ",V21-V$24))</f>
        <v xml:space="preserve"> </v>
      </c>
      <c r="X21" s="448" t="str">
        <f>IF(V$25=1,V21,W21)</f>
        <v xml:space="preserve"> </v>
      </c>
      <c r="Y21" s="436" t="s">
        <v>775</v>
      </c>
      <c r="Z21" s="454">
        <f>'Com Loads'!J35</f>
        <v>0</v>
      </c>
      <c r="AA21" s="436" t="str">
        <f>TEXT(Z21, "#,##0")</f>
        <v>0</v>
      </c>
      <c r="AB21" s="347" t="s">
        <v>796</v>
      </c>
      <c r="AC21" s="436">
        <f>IF(Z21=0,1,Y18)</f>
        <v>1</v>
      </c>
      <c r="AD21" s="436" t="s">
        <v>424</v>
      </c>
      <c r="AE21" s="436" t="str">
        <f>CONCATENATE(Y21,AA21,AB21,AC21,AD21)</f>
        <v xml:space="preserve">L2 ( 0 VA X 1 ) = </v>
      </c>
      <c r="AR21" s="452"/>
      <c r="AS21" s="452"/>
      <c r="AT21" s="452"/>
      <c r="AU21" s="452"/>
      <c r="AV21" s="452"/>
      <c r="AW21" s="452"/>
    </row>
    <row r="22" spans="1:62" ht="14.1" customHeight="1">
      <c r="A22" s="444"/>
      <c r="B22" s="451" t="s">
        <v>776</v>
      </c>
      <c r="C22" s="441"/>
      <c r="D22" s="455"/>
      <c r="E22" s="448">
        <f>IF(V25=1,0,IF(V21=" ",0,V24))</f>
        <v>0</v>
      </c>
      <c r="F22" s="466" t="s">
        <v>735</v>
      </c>
      <c r="G22" s="456"/>
      <c r="H22" s="448">
        <f>IF(V25=1,0,IF(V22=" ",0,V24))</f>
        <v>0</v>
      </c>
      <c r="I22" s="466" t="str">
        <f>IF(AND(U7=1,U16="3D")," ","VA")</f>
        <v>VA</v>
      </c>
      <c r="J22" s="454"/>
      <c r="K22" s="448">
        <f>IF(U7=1,"",IF(V25=1,0,IF(V23=" ",0,V24)))</f>
        <v>0</v>
      </c>
      <c r="L22" s="513" t="str">
        <f>IF(U7=1,"","VA")</f>
        <v>VA</v>
      </c>
      <c r="M22" s="448"/>
      <c r="N22" s="448"/>
      <c r="O22" s="457"/>
      <c r="P22" s="444"/>
      <c r="T22" s="436" t="s">
        <v>366</v>
      </c>
      <c r="U22" s="454">
        <f>ROUND(SUM(H8:H20),0)</f>
        <v>0</v>
      </c>
      <c r="V22" s="454" t="str">
        <f>IF(U22-$E$21=0," ",U22-$E$21)</f>
        <v xml:space="preserve"> </v>
      </c>
      <c r="W22" s="454" t="str">
        <f>IF(V22=" "," ",IF(V22-V$24=0," ",V22-V$24))</f>
        <v xml:space="preserve"> </v>
      </c>
      <c r="X22" s="448" t="str">
        <f>IF(V$25=1,V22,W22)</f>
        <v xml:space="preserve"> </v>
      </c>
      <c r="Y22" s="436" t="s">
        <v>777</v>
      </c>
      <c r="Z22" s="454">
        <f>'Com Loads'!K35</f>
        <v>0</v>
      </c>
      <c r="AA22" s="436" t="str">
        <f>TEXT(Z22, "#,##0")</f>
        <v>0</v>
      </c>
      <c r="AB22" s="347" t="s">
        <v>796</v>
      </c>
      <c r="AC22" s="436">
        <f>IF(Z22=0,1,Y18)</f>
        <v>1</v>
      </c>
      <c r="AD22" s="436" t="s">
        <v>424</v>
      </c>
      <c r="AE22" s="436" t="str">
        <f>CONCATENATE(Y22,AA22,AB22,AC22,AD22)</f>
        <v xml:space="preserve">L3 ( 0 VA X 1 ) = </v>
      </c>
      <c r="AR22" s="452"/>
      <c r="AS22" s="452"/>
      <c r="AT22" s="452"/>
      <c r="AU22" s="452"/>
      <c r="AV22" s="452"/>
      <c r="AW22" s="452"/>
    </row>
    <row r="23" spans="1:62" ht="14.1" customHeight="1">
      <c r="A23" s="444"/>
      <c r="B23" s="451" t="s">
        <v>778</v>
      </c>
      <c r="C23" s="441"/>
      <c r="D23" s="455"/>
      <c r="E23" s="448">
        <f>IF(X21=" ",0,X21)</f>
        <v>0</v>
      </c>
      <c r="F23" s="466" t="s">
        <v>735</v>
      </c>
      <c r="G23" s="456"/>
      <c r="H23" s="448">
        <f>IF(X22=" ",0,X22)</f>
        <v>0</v>
      </c>
      <c r="I23" s="466" t="str">
        <f>IF(AND(U7=1,U16="3D")," ","VA")</f>
        <v>VA</v>
      </c>
      <c r="J23" s="454"/>
      <c r="K23" s="448">
        <f>IF(U7=1,"",IF(X23=" ",0,X23))</f>
        <v>0</v>
      </c>
      <c r="L23" s="513" t="str">
        <f>IF(U7=1,"","VA")</f>
        <v>VA</v>
      </c>
      <c r="M23" s="448"/>
      <c r="N23" s="448"/>
      <c r="O23" s="457"/>
      <c r="P23" s="444"/>
      <c r="T23" s="436" t="s">
        <v>750</v>
      </c>
      <c r="U23" s="454">
        <f>ROUND(SUM(K8:K20),0)</f>
        <v>0</v>
      </c>
      <c r="V23" s="454" t="str">
        <f>IF(U23-$E$21=0," ",U23-$E$21)</f>
        <v xml:space="preserve"> </v>
      </c>
      <c r="W23" s="454" t="str">
        <f>IF(V23=" "," ",IF(V23-V$24=0," ",V23-V$24))</f>
        <v xml:space="preserve"> </v>
      </c>
      <c r="X23" s="448" t="str">
        <f>IF(V$25=1,V23,W23)</f>
        <v xml:space="preserve"> </v>
      </c>
      <c r="AR23" s="452"/>
      <c r="AS23" s="452"/>
      <c r="AT23" s="452"/>
      <c r="AU23" s="452"/>
      <c r="AV23" s="452"/>
      <c r="AW23" s="452"/>
    </row>
    <row r="24" spans="1:62" ht="14.1" customHeight="1">
      <c r="A24" s="444"/>
      <c r="B24" s="451"/>
      <c r="C24" s="441"/>
      <c r="D24" s="455"/>
      <c r="E24" s="448"/>
      <c r="F24" s="466"/>
      <c r="G24" s="456"/>
      <c r="H24" s="448"/>
      <c r="I24" s="466"/>
      <c r="J24" s="454"/>
      <c r="K24" s="448"/>
      <c r="L24" s="513"/>
      <c r="M24" s="448"/>
      <c r="N24" s="448"/>
      <c r="O24" s="457"/>
      <c r="P24" s="444"/>
      <c r="R24" s="454"/>
      <c r="T24" s="454">
        <f>SUM(E21:K23)</f>
        <v>0</v>
      </c>
      <c r="U24" s="454">
        <f>SUM(U21:U23)</f>
        <v>0</v>
      </c>
      <c r="V24" s="454">
        <f>MIN(V21:V23)</f>
        <v>0</v>
      </c>
      <c r="X24" s="454"/>
      <c r="AR24" s="452"/>
      <c r="AS24" s="452"/>
      <c r="AT24" s="452"/>
      <c r="AU24" s="452"/>
      <c r="AV24" s="452"/>
      <c r="AW24" s="452"/>
    </row>
    <row r="25" spans="1:62" ht="14.1" customHeight="1">
      <c r="A25" s="444"/>
      <c r="B25" s="451" t="str">
        <f>IF(U7=1," ","LINE AMPS BALANCED (3-PHASE)")</f>
        <v>LINE AMPS BALANCED (3-PHASE)</v>
      </c>
      <c r="C25" s="441"/>
      <c r="D25" s="441"/>
      <c r="E25" s="491">
        <f>ROUND(E21*3/$U$8/1.732,1)</f>
        <v>0</v>
      </c>
      <c r="F25" s="492" t="s">
        <v>779</v>
      </c>
      <c r="G25" s="496"/>
      <c r="H25" s="491">
        <f>ROUND(H21*3/$U$8/1.732,1)</f>
        <v>0</v>
      </c>
      <c r="I25" s="492" t="s">
        <v>779</v>
      </c>
      <c r="J25" s="492"/>
      <c r="K25" s="491">
        <f>IF(U7=1,"",ROUND(K21*3/$U$8/1.732,1))</f>
        <v>0</v>
      </c>
      <c r="L25" s="497" t="str">
        <f>IF(U7=1,"","A")</f>
        <v>A</v>
      </c>
      <c r="M25" s="448"/>
      <c r="N25" s="491"/>
      <c r="O25" s="457"/>
      <c r="P25" s="444"/>
      <c r="R25" s="454"/>
      <c r="T25" s="436" t="s">
        <v>757</v>
      </c>
      <c r="V25" s="436">
        <f>COUNT(V21:V23)</f>
        <v>0</v>
      </c>
      <c r="W25" s="436">
        <f>IF(V25=1,V24,SUM(W21:W23))</f>
        <v>0</v>
      </c>
      <c r="AR25" s="452"/>
      <c r="AS25" s="452"/>
      <c r="AT25" s="452"/>
      <c r="AU25" s="452"/>
      <c r="AV25" s="452"/>
      <c r="AW25" s="452"/>
    </row>
    <row r="26" spans="1:62" ht="14.1" customHeight="1">
      <c r="A26" s="444"/>
      <c r="B26" s="451" t="s">
        <v>799</v>
      </c>
      <c r="C26" s="441"/>
      <c r="D26" s="441"/>
      <c r="E26" s="491">
        <f>IF(E22=0,0,ROUND(((SUM(E22:L22))/U8),1))</f>
        <v>0</v>
      </c>
      <c r="F26" s="492" t="s">
        <v>779</v>
      </c>
      <c r="G26" s="496"/>
      <c r="H26" s="491">
        <f>IF(H22=0,0,ROUND(((SUM(E22:L22))/U8),1))</f>
        <v>0</v>
      </c>
      <c r="I26" s="492" t="s">
        <v>779</v>
      </c>
      <c r="J26" s="492"/>
      <c r="K26" s="491">
        <f>IF(U7=1,"",IF(K22=0,0,ROUND(((SUM(E22:L22))/U8),1)))</f>
        <v>0</v>
      </c>
      <c r="L26" s="497" t="str">
        <f>IF(U7=1,"",IF(AND(U7=1,OR(U16=1,U16="3Y"))," ","A"))</f>
        <v>A</v>
      </c>
      <c r="M26" s="448"/>
      <c r="N26" s="491"/>
      <c r="O26" s="457"/>
      <c r="P26" s="444"/>
      <c r="R26" s="454"/>
      <c r="T26" s="454" t="s">
        <v>780</v>
      </c>
      <c r="W26" s="436" t="e">
        <f>IF(#REF!=0,#REF!,W25)</f>
        <v>#REF!</v>
      </c>
      <c r="Y26" s="454"/>
      <c r="BI26" s="440"/>
      <c r="BJ26" s="440"/>
    </row>
    <row r="27" spans="1:62" ht="14.1" customHeight="1">
      <c r="A27" s="444"/>
      <c r="B27" s="451" t="s">
        <v>800</v>
      </c>
      <c r="C27" s="441"/>
      <c r="D27" s="455"/>
      <c r="E27" s="491">
        <f>IF(E23=0,0,ROUND((E23/$U$9),1))</f>
        <v>0</v>
      </c>
      <c r="F27" s="492" t="s">
        <v>779</v>
      </c>
      <c r="G27" s="496"/>
      <c r="H27" s="491">
        <f>IF(H23=0,0,ROUND((H23/$U$9),1))</f>
        <v>0</v>
      </c>
      <c r="I27" s="492" t="s">
        <v>779</v>
      </c>
      <c r="J27" s="492"/>
      <c r="K27" s="491">
        <f>IF(U7=1,"",IF(K23=0,0,ROUND((K23/$U$9),1)))</f>
        <v>0</v>
      </c>
      <c r="L27" s="497" t="str">
        <f>IF(U7=1,"",IF(AND(U7=1,OR(U16=1,U16="3Y"))," ","A"))</f>
        <v>A</v>
      </c>
      <c r="M27" s="448"/>
      <c r="N27" s="491"/>
      <c r="O27" s="457"/>
      <c r="P27" s="444"/>
      <c r="T27" s="454">
        <f>IF(U7=1,0,IF(U7="3Y",0,IF(AND(U22&gt;U21,U22&gt;U23),1,IF(AND(H30&gt;K30,H30&gt;E30),1,0))))</f>
        <v>0</v>
      </c>
      <c r="AE27" s="436">
        <f>MIN(AF27:AJ27)</f>
        <v>2000</v>
      </c>
      <c r="AF27" s="436">
        <v>3750</v>
      </c>
      <c r="AH27" s="436">
        <v>2500</v>
      </c>
      <c r="AJ27" s="436">
        <v>2000</v>
      </c>
      <c r="AR27" s="436" t="s">
        <v>739</v>
      </c>
      <c r="AY27" s="436">
        <f>SUM(AU27:AW27)</f>
        <v>0</v>
      </c>
    </row>
    <row r="28" spans="1:62" ht="14.1" customHeight="1">
      <c r="A28" s="444"/>
      <c r="B28" s="451" t="s">
        <v>807</v>
      </c>
      <c r="C28" s="455"/>
      <c r="D28" s="455"/>
      <c r="E28" s="530">
        <f>ROUND((SUM(E25:E27)),1)</f>
        <v>0</v>
      </c>
      <c r="F28" s="531" t="s">
        <v>779</v>
      </c>
      <c r="G28" s="496"/>
      <c r="H28" s="530">
        <f>ROUND((SUM(H25:H27)),1)</f>
        <v>0</v>
      </c>
      <c r="I28" s="531" t="s">
        <v>779</v>
      </c>
      <c r="J28" s="492"/>
      <c r="K28" s="530">
        <f>IF(U7=1,"",ROUND((SUM(K25:K27)),1))</f>
        <v>0</v>
      </c>
      <c r="L28" s="532" t="str">
        <f>IF(U7=1,"",IF(AND(U7=1,OR(U16=1,U16="3Y"))," ","A"))</f>
        <v>A</v>
      </c>
      <c r="M28" s="495"/>
      <c r="N28" s="495"/>
      <c r="O28" s="494"/>
      <c r="P28" s="444"/>
      <c r="R28" s="492"/>
      <c r="T28" s="454"/>
      <c r="AR28" s="436" t="s">
        <v>235</v>
      </c>
    </row>
    <row r="29" spans="1:62" ht="14.1" customHeight="1">
      <c r="A29" s="444"/>
      <c r="B29" s="451"/>
      <c r="C29" s="455"/>
      <c r="D29" s="455"/>
      <c r="E29" s="495"/>
      <c r="F29" s="494"/>
      <c r="G29" s="493"/>
      <c r="H29" s="495"/>
      <c r="I29" s="494"/>
      <c r="J29" s="494"/>
      <c r="K29" s="495"/>
      <c r="L29" s="514"/>
      <c r="M29" s="495"/>
      <c r="N29" s="495"/>
      <c r="O29" s="494"/>
      <c r="P29" s="444"/>
      <c r="R29" s="454"/>
      <c r="AF29" s="436">
        <f>$AE27</f>
        <v>2000</v>
      </c>
      <c r="AH29" s="436">
        <f>$AE27</f>
        <v>2000</v>
      </c>
      <c r="AJ29" s="436">
        <f>$AE27</f>
        <v>2000</v>
      </c>
      <c r="AU29" s="436">
        <v>10000</v>
      </c>
      <c r="AV29" s="436">
        <v>10000</v>
      </c>
      <c r="AW29" s="436">
        <v>10000</v>
      </c>
    </row>
    <row r="30" spans="1:62" ht="14.1" customHeight="1">
      <c r="A30" s="444"/>
      <c r="B30" s="520" t="s">
        <v>803</v>
      </c>
      <c r="C30" s="441"/>
      <c r="D30" s="455"/>
      <c r="E30"/>
      <c r="F30"/>
      <c r="G30" s="496"/>
      <c r="H30" s="526" t="str">
        <f>Calcs!G5</f>
        <v>NEUTRAL LOAD PER NEC 220.61</v>
      </c>
      <c r="I30" s="492"/>
      <c r="J30" s="492"/>
      <c r="K30" s="491"/>
      <c r="L30" s="497"/>
      <c r="M30" s="448"/>
      <c r="N30" s="521"/>
      <c r="O30" s="454"/>
      <c r="P30" s="453"/>
      <c r="R30" s="454"/>
      <c r="S30" s="436">
        <f>ROUND(R25/U9,1)</f>
        <v>0</v>
      </c>
      <c r="T30" s="436" t="s">
        <v>278</v>
      </c>
      <c r="U30" s="494">
        <f>IF(U7=1,U34,IF(U7="3D",U37,IF(U7="3Y",U40,0)))</f>
        <v>0</v>
      </c>
      <c r="V30" s="494"/>
      <c r="W30" s="494"/>
      <c r="Y30" s="436" t="s">
        <v>781</v>
      </c>
    </row>
    <row r="31" spans="1:62" ht="14.1" customHeight="1">
      <c r="A31" s="444"/>
      <c r="B31" s="451" t="str">
        <f>Calcs!B3</f>
        <v>BASED ON THE 2002 NEC SECTION 220.32</v>
      </c>
      <c r="C31" s="441"/>
      <c r="D31" s="497"/>
      <c r="E31" s="491"/>
      <c r="F31" s="492"/>
      <c r="G31" s="496"/>
      <c r="H31" s="497" t="str">
        <f>Calcs!G6</f>
        <v xml:space="preserve">TOTAL SQ FOOTAGE ( 9,000 SQ FT X 3 VA ) = </v>
      </c>
      <c r="I31" s="492"/>
      <c r="J31" s="492"/>
      <c r="K31" s="491"/>
      <c r="L31" s="457"/>
      <c r="M31" s="448"/>
      <c r="N31" s="521">
        <f>Calcs!J6</f>
        <v>27000</v>
      </c>
      <c r="O31" s="457"/>
      <c r="P31" s="453"/>
      <c r="T31" s="436" t="s">
        <v>782</v>
      </c>
      <c r="U31" s="436">
        <f>IF(U7=1,U33,IF(U7="3D",U36,IF(U7="3Y",U39,0)))</f>
        <v>0</v>
      </c>
      <c r="AA31" s="454">
        <f>MAX(Z32:Z34)</f>
        <v>0</v>
      </c>
      <c r="AF31" s="436">
        <f>AF27-AF29</f>
        <v>1750</v>
      </c>
      <c r="AH31" s="436">
        <f>AH27-AH29</f>
        <v>500</v>
      </c>
      <c r="AJ31" s="436">
        <f>AJ27-AJ29</f>
        <v>0</v>
      </c>
      <c r="AR31" s="436" t="s">
        <v>308</v>
      </c>
    </row>
    <row r="32" spans="1:62" ht="14.1" customHeight="1">
      <c r="A32" s="444"/>
      <c r="B32" s="500"/>
      <c r="C32" s="441"/>
      <c r="D32" s="497"/>
      <c r="E32" s="491"/>
      <c r="F32" s="492"/>
      <c r="G32" s="496"/>
      <c r="H32" s="497" t="str">
        <f>Calcs!G7</f>
        <v xml:space="preserve">APPLIANCE CIRCUITS ( 12 X 1,500 VA ) = </v>
      </c>
      <c r="I32" s="492"/>
      <c r="J32" s="492"/>
      <c r="K32" s="491"/>
      <c r="L32" s="457"/>
      <c r="M32" s="448"/>
      <c r="N32" s="521">
        <f>Calcs!J7</f>
        <v>18000</v>
      </c>
      <c r="O32" s="457"/>
      <c r="P32" s="453"/>
      <c r="Y32" s="436" t="s">
        <v>349</v>
      </c>
      <c r="Z32" s="454">
        <f>ROUND(SUM(E8:E12)+SUM(E15:E20),0)</f>
        <v>0</v>
      </c>
      <c r="AA32" s="436">
        <f>IF(Z32=AA31,1,IF(AND(Z32&gt;Z33,Z32&gt;Z34),1,0))</f>
        <v>1</v>
      </c>
      <c r="AR32" s="498" t="s">
        <v>783</v>
      </c>
      <c r="AS32" s="438"/>
      <c r="AT32" s="438"/>
      <c r="AU32" s="438">
        <f>IF($AY$27&gt;10000,ROUND(AU29*AU28,0),AU27)</f>
        <v>0</v>
      </c>
      <c r="AV32" s="438">
        <f>IF($AY$27&gt;10000,ROUND(AV29*AV28,0),AV27)</f>
        <v>0</v>
      </c>
      <c r="AW32" s="499">
        <f>IF($AY$27&gt;10000,ROUND(AW29*AW28,0),AW27)</f>
        <v>0</v>
      </c>
      <c r="AY32" s="436">
        <f>SUM(AU32:AW32)</f>
        <v>0</v>
      </c>
    </row>
    <row r="33" spans="1:51" ht="14.1" customHeight="1">
      <c r="A33" s="444"/>
      <c r="B33" s="451" t="str">
        <f>Calcs!B6</f>
        <v xml:space="preserve">TOTAL SQ FOOTAGE ( 9,000 SQ FT X 3 VA ) = </v>
      </c>
      <c r="C33" s="441"/>
      <c r="D33" s="497"/>
      <c r="E33" s="550">
        <f>Calcs!E6</f>
        <v>27000</v>
      </c>
      <c r="F33" s="550"/>
      <c r="G33" s="497"/>
      <c r="H33" s="497" t="str">
        <f>Calcs!G8</f>
        <v xml:space="preserve">LAUNDRY CIRCUITS ( 6 X 1,500 VA ) = </v>
      </c>
      <c r="I33" s="497"/>
      <c r="J33" s="497"/>
      <c r="K33" s="497"/>
      <c r="L33" s="497"/>
      <c r="M33" s="448"/>
      <c r="N33" s="521">
        <f>Calcs!J8</f>
        <v>9000</v>
      </c>
      <c r="O33" s="457"/>
      <c r="P33" s="453"/>
      <c r="T33" s="436" t="s">
        <v>365</v>
      </c>
      <c r="Y33" s="436" t="s">
        <v>366</v>
      </c>
      <c r="Z33" s="454">
        <f>IF(U7="3D",0,ROUND(SUM(H8:H12)+SUM(H15:H20),0))</f>
        <v>0</v>
      </c>
      <c r="AA33" s="436">
        <f>IF(AA32&gt;0,0,IF(Z33=AA31,2,IF(AND(Z33&gt;Z32,Z33&gt;Z34),2,0)))</f>
        <v>0</v>
      </c>
      <c r="AR33" s="501" t="s">
        <v>784</v>
      </c>
      <c r="AS33" s="502"/>
      <c r="AT33" s="502"/>
      <c r="AU33" s="502" t="str">
        <f>IF($AY$27&gt;10000,ROUND((AU27-AU32)*0.5,0)," ")</f>
        <v xml:space="preserve"> </v>
      </c>
      <c r="AV33" s="502" t="str">
        <f>IF($AY$27&gt;10000,ROUND((AV27-AV32)*0.5,0)," ")</f>
        <v xml:space="preserve"> </v>
      </c>
      <c r="AW33" s="503" t="str">
        <f>IF($AY$27&gt;10000,ROUND((AW27-AW32)*0.5,0)," ")</f>
        <v xml:space="preserve"> </v>
      </c>
      <c r="AY33" s="436">
        <f>SUM(AU33:AW33)</f>
        <v>0</v>
      </c>
    </row>
    <row r="34" spans="1:51" ht="14.1" customHeight="1">
      <c r="A34" s="444"/>
      <c r="B34" s="451" t="str">
        <f>Calcs!B7</f>
        <v xml:space="preserve">APPLIANCE CIRCUITS ( 12 X 1,500 VA ) = </v>
      </c>
      <c r="C34" s="441"/>
      <c r="D34" s="497"/>
      <c r="E34" s="550">
        <f>Calcs!E7</f>
        <v>18000</v>
      </c>
      <c r="F34" s="550"/>
      <c r="G34" s="497"/>
      <c r="H34" s="497" t="str">
        <f>Calcs!G9</f>
        <v>TOTAL CONNECTED NEUTRAL LOAD</v>
      </c>
      <c r="I34" s="497"/>
      <c r="J34" s="497"/>
      <c r="K34" s="497"/>
      <c r="L34" s="497"/>
      <c r="M34" s="448"/>
      <c r="N34" s="522">
        <f>Calcs!J9</f>
        <v>54000</v>
      </c>
      <c r="O34" s="457"/>
      <c r="P34" s="453"/>
      <c r="T34" s="436" t="s">
        <v>167</v>
      </c>
      <c r="U34" s="494">
        <f>U33/U$9</f>
        <v>0</v>
      </c>
      <c r="V34" s="494"/>
      <c r="W34" s="494"/>
      <c r="Y34" s="436" t="s">
        <v>750</v>
      </c>
      <c r="Z34" s="454">
        <f>ROUND(SUM(K8:K12)+SUM(K15:K20),0)</f>
        <v>0</v>
      </c>
      <c r="AA34" s="436">
        <f>IF(OR(AA32&gt;0,AA33,0),0,IF(Z34=AA31,3,IF(AND(Z34&gt;Z33,Z34&gt;Z32),3,0)))</f>
        <v>0</v>
      </c>
    </row>
    <row r="35" spans="1:51" ht="14.1" customHeight="1">
      <c r="A35" s="444"/>
      <c r="B35" s="451" t="str">
        <f>Calcs!B8</f>
        <v xml:space="preserve">LAUNDRY CIRCUITS ( 6 X 1,500 VA ) = </v>
      </c>
      <c r="C35" s="441"/>
      <c r="D35" s="497"/>
      <c r="E35" s="550">
        <f>Calcs!E8</f>
        <v>9000</v>
      </c>
      <c r="F35" s="550"/>
      <c r="G35" s="497"/>
      <c r="H35" s="497"/>
      <c r="I35" s="497"/>
      <c r="J35" s="497"/>
      <c r="K35" s="497"/>
      <c r="L35" s="497"/>
      <c r="M35" s="448"/>
      <c r="N35" s="521"/>
      <c r="O35" s="457"/>
      <c r="P35" s="453"/>
      <c r="AY35" s="436" t="str">
        <f>IF(AY33&gt;0,"REMAINDER @ 50%","")</f>
        <v/>
      </c>
    </row>
    <row r="36" spans="1:51" ht="14.1" customHeight="1">
      <c r="A36" s="444"/>
      <c r="B36" s="451" t="str">
        <f>Calcs!B9</f>
        <v/>
      </c>
      <c r="C36" s="441"/>
      <c r="D36" s="497"/>
      <c r="E36" s="497"/>
      <c r="F36" s="497"/>
      <c r="G36" s="497"/>
      <c r="H36" s="497" t="str">
        <f>Calcs!G11</f>
        <v xml:space="preserve">FIRST 3,000 VA @ 100% ( 3,000 VA X 1.00 ) = </v>
      </c>
      <c r="I36" s="497"/>
      <c r="J36" s="497"/>
      <c r="K36" s="497"/>
      <c r="L36" s="497"/>
      <c r="M36" s="448"/>
      <c r="N36" s="521">
        <f>Calcs!J11</f>
        <v>3000</v>
      </c>
      <c r="O36" s="457"/>
      <c r="P36" s="453"/>
      <c r="T36" s="436" t="s">
        <v>757</v>
      </c>
      <c r="Y36" s="436" t="s">
        <v>785</v>
      </c>
      <c r="Z36" s="454">
        <f>MAX(Z32:Z34)</f>
        <v>0</v>
      </c>
      <c r="AA36" s="436">
        <f>SUM(AA32:AA34)</f>
        <v>1</v>
      </c>
    </row>
    <row r="37" spans="1:51" ht="14.1" customHeight="1">
      <c r="A37" s="444"/>
      <c r="B37" s="451" t="str">
        <f>Calcs!B10</f>
        <v/>
      </c>
      <c r="C37" s="441"/>
      <c r="D37" s="497"/>
      <c r="E37" s="497"/>
      <c r="F37" s="497"/>
      <c r="G37" s="497"/>
      <c r="H37" s="497" t="str">
        <f>Calcs!G12</f>
        <v xml:space="preserve">3,000-120,000 VA @ 35% ( 51,000 VA X 0.35 ) = </v>
      </c>
      <c r="I37" s="497"/>
      <c r="J37" s="497"/>
      <c r="K37" s="457"/>
      <c r="L37" s="497"/>
      <c r="M37" s="448"/>
      <c r="N37" s="521">
        <f>Calcs!J12</f>
        <v>17850</v>
      </c>
      <c r="O37" s="457"/>
      <c r="P37" s="453"/>
      <c r="T37" s="436" t="s">
        <v>167</v>
      </c>
      <c r="U37" s="494">
        <f>U36/U$9</f>
        <v>0</v>
      </c>
      <c r="V37" s="494"/>
      <c r="W37" s="494"/>
      <c r="Y37" s="454" t="s">
        <v>786</v>
      </c>
      <c r="Z37" s="436">
        <f>(Z36*3)</f>
        <v>0</v>
      </c>
    </row>
    <row r="38" spans="1:51" ht="14.1" customHeight="1">
      <c r="A38" s="444"/>
      <c r="B38" s="451" t="str">
        <f>Calcs!B11</f>
        <v>RANGES ( 4 ON ANY 2 PHASES ) = 32,000 KVA</v>
      </c>
      <c r="C38" s="441"/>
      <c r="D38" s="497"/>
      <c r="E38" s="550" t="str">
        <f>Calcs!E11</f>
        <v/>
      </c>
      <c r="F38" s="550"/>
      <c r="G38" s="497"/>
      <c r="H38" s="497" t="str">
        <f>Calcs!G13</f>
        <v xml:space="preserve">OVER 120,000 VA @ 25% ( 0 VA X 0.25 ) = </v>
      </c>
      <c r="I38" s="497"/>
      <c r="J38" s="497"/>
      <c r="K38" s="457"/>
      <c r="L38" s="497"/>
      <c r="M38" s="448"/>
      <c r="N38" s="521">
        <f>Calcs!J13</f>
        <v>0</v>
      </c>
      <c r="O38" s="457"/>
      <c r="P38" s="453"/>
      <c r="Y38" s="436" t="s">
        <v>167</v>
      </c>
      <c r="Z38" s="436">
        <f>IF(U7=1,ROUND(Z37/U8,1),ROUND(Z37/U8/1.732,1))</f>
        <v>0</v>
      </c>
    </row>
    <row r="39" spans="1:51" ht="14.1" customHeight="1">
      <c r="A39" s="444"/>
      <c r="B39" s="451" t="str">
        <f>Calcs!B12</f>
        <v>PER PHASE DEMAND ( 32,000 VA ÷ 2 ) = 16,000 VA</v>
      </c>
      <c r="C39" s="441"/>
      <c r="D39" s="497"/>
      <c r="E39"/>
      <c r="F39"/>
      <c r="G39" s="497"/>
      <c r="H39" s="497" t="str">
        <f>Calcs!G14</f>
        <v>SUBTOTAL</v>
      </c>
      <c r="I39" s="497"/>
      <c r="J39" s="497"/>
      <c r="K39" s="457"/>
      <c r="L39" s="497"/>
      <c r="M39" s="448"/>
      <c r="N39" s="522">
        <f>Calcs!J14</f>
        <v>20850</v>
      </c>
      <c r="O39" s="457"/>
      <c r="P39" s="453"/>
      <c r="T39" s="436" t="s">
        <v>411</v>
      </c>
    </row>
    <row r="40" spans="1:51" ht="14.1" customHeight="1">
      <c r="A40" s="444"/>
      <c r="B40" s="451" t="str">
        <f>Calcs!B13</f>
        <v xml:space="preserve">EQUIVALENT 3-PHASE LOAD ( 16,000 VA X 3 ) = </v>
      </c>
      <c r="C40" s="441"/>
      <c r="D40" s="497"/>
      <c r="E40" s="550">
        <f>Calcs!E13</f>
        <v>48000</v>
      </c>
      <c r="F40" s="550"/>
      <c r="G40" s="497"/>
      <c r="H40" s="497"/>
      <c r="I40" s="497"/>
      <c r="J40" s="497"/>
      <c r="K40" s="457"/>
      <c r="L40" s="497"/>
      <c r="M40" s="448"/>
      <c r="N40" s="521"/>
      <c r="O40" s="457"/>
      <c r="P40" s="453"/>
      <c r="T40" s="436" t="s">
        <v>167</v>
      </c>
      <c r="U40" s="494">
        <f>U39/U9</f>
        <v>0</v>
      </c>
      <c r="V40" s="494"/>
      <c r="W40" s="494"/>
      <c r="Z40" s="454"/>
      <c r="AA40" s="454"/>
    </row>
    <row r="41" spans="1:51" ht="14.1" customHeight="1">
      <c r="A41" s="444"/>
      <c r="B41" s="451"/>
      <c r="C41" s="441"/>
      <c r="D41" s="497"/>
      <c r="E41" s="497"/>
      <c r="F41" s="497"/>
      <c r="G41" s="497"/>
      <c r="H41" s="497" t="str">
        <f>Calcs!G16</f>
        <v>RANGE DEMAND</v>
      </c>
      <c r="I41" s="497"/>
      <c r="J41" s="497"/>
      <c r="K41" s="457"/>
      <c r="L41" s="497"/>
      <c r="M41" s="448"/>
      <c r="N41" s="521"/>
      <c r="O41" s="457"/>
      <c r="P41" s="453"/>
      <c r="X41" s="436">
        <f>IF(AND(U7=1,U16=1),0,MIN(U21:U23))</f>
        <v>0</v>
      </c>
      <c r="Y41" s="436" t="s">
        <v>349</v>
      </c>
      <c r="Z41" s="454" t="e">
        <f>ROUND(SUM(#REF!),0)</f>
        <v>#REF!</v>
      </c>
      <c r="AA41" s="454" t="e">
        <f>IF(Z41-$E$21=0," ",Z41-$E$21)</f>
        <v>#REF!</v>
      </c>
      <c r="AB41" s="454" t="e">
        <f>IF(AA41=" "," ",IF(AA41-AA$24=0," ",AA41-AA$24))</f>
        <v>#REF!</v>
      </c>
      <c r="AC41" s="448" t="e">
        <f>IF(AA$25=1,AA41,AB41)</f>
        <v>#REF!</v>
      </c>
    </row>
    <row r="42" spans="1:51" ht="14.1" customHeight="1">
      <c r="A42" s="444"/>
      <c r="B42" s="451"/>
      <c r="C42" s="441"/>
      <c r="D42" s="497"/>
      <c r="E42" s="497"/>
      <c r="F42" s="497"/>
      <c r="G42" s="497"/>
      <c r="H42" s="497" t="str">
        <f>Calcs!G17</f>
        <v>PROHIBITED REDUCTION NEC 220.61(C)(1)</v>
      </c>
      <c r="I42" s="497"/>
      <c r="J42" s="497"/>
      <c r="K42" s="457"/>
      <c r="L42" s="497"/>
      <c r="M42" s="448"/>
      <c r="N42" s="521"/>
      <c r="O42" s="457"/>
      <c r="P42" s="453"/>
      <c r="U42" s="492"/>
      <c r="Y42" s="436" t="s">
        <v>366</v>
      </c>
      <c r="Z42" s="454" t="e">
        <f>ROUND(SUM(#REF!),0)</f>
        <v>#REF!</v>
      </c>
      <c r="AA42" s="454" t="e">
        <f>IF(Z42-$E$21=0," ",Z42-$E$21)</f>
        <v>#REF!</v>
      </c>
      <c r="AB42" s="454" t="e">
        <f>IF(AA42=" "," ",IF(AA42-AA$24=0," ",AA42-AA$24))</f>
        <v>#REF!</v>
      </c>
      <c r="AC42" s="448" t="e">
        <f>IF(AA$25=1,AA42,AB42)</f>
        <v>#REF!</v>
      </c>
    </row>
    <row r="43" spans="1:51" ht="14.1" customHeight="1">
      <c r="A43" s="444"/>
      <c r="B43" s="451" t="str">
        <f>Calcs!B16</f>
        <v>DRYERS ( 4 ON ANY 2 PHASES ) = 30,000 KVA</v>
      </c>
      <c r="C43" s="441"/>
      <c r="D43" s="497"/>
      <c r="E43" s="550" t="str">
        <f>Calcs!E16</f>
        <v/>
      </c>
      <c r="F43" s="550"/>
      <c r="G43" s="497"/>
      <c r="H43" s="497" t="str">
        <f>Calcs!G18</f>
        <v xml:space="preserve">100% OF TABLE 220.55 ( 21,000 VA X 1.00 ) = </v>
      </c>
      <c r="I43" s="497"/>
      <c r="J43" s="497"/>
      <c r="K43" s="497"/>
      <c r="L43" s="497"/>
      <c r="M43" s="448"/>
      <c r="N43" s="521">
        <f>Calcs!J18</f>
        <v>21000</v>
      </c>
      <c r="O43" s="457"/>
      <c r="P43" s="453"/>
      <c r="T43" s="436" t="s">
        <v>787</v>
      </c>
      <c r="U43" s="492">
        <f>MAX(E30:L30)</f>
        <v>0</v>
      </c>
      <c r="V43" s="492"/>
      <c r="W43" s="492"/>
      <c r="Y43" s="436" t="s">
        <v>750</v>
      </c>
      <c r="Z43" s="454" t="e">
        <f>ROUND(SUM(#REF!),0)</f>
        <v>#REF!</v>
      </c>
      <c r="AA43" s="454" t="e">
        <f>IF(Z43-$E$21=0," ",Z43-$E$21)</f>
        <v>#REF!</v>
      </c>
      <c r="AB43" s="454" t="e">
        <f>IF(AA43=" "," ",IF(AA43-AA$24=0," ",AA43-AA$24))</f>
        <v>#REF!</v>
      </c>
      <c r="AC43" s="448" t="e">
        <f>IF(AA$25=1,AA43,AB43)</f>
        <v>#REF!</v>
      </c>
    </row>
    <row r="44" spans="1:51" ht="14.1" customHeight="1">
      <c r="A44" s="444"/>
      <c r="B44" s="451" t="str">
        <f>Calcs!B17</f>
        <v>PER PHASE DEMAND ( 20,000 VA ÷ 2 ) = 10,000 VA</v>
      </c>
      <c r="C44" s="441"/>
      <c r="D44" s="497"/>
      <c r="E44" s="497"/>
      <c r="F44" s="497"/>
      <c r="G44" s="497"/>
      <c r="H44" s="497"/>
      <c r="I44" s="497"/>
      <c r="J44" s="497"/>
      <c r="K44" s="497"/>
      <c r="L44" s="497"/>
      <c r="M44" s="448"/>
      <c r="N44" s="521"/>
      <c r="O44" s="457"/>
      <c r="T44" s="454"/>
      <c r="Y44" s="454">
        <f>SUM(J39:P41)</f>
        <v>20850</v>
      </c>
      <c r="Z44" s="454" t="e">
        <f>SUM(Z41:Z43)</f>
        <v>#REF!</v>
      </c>
      <c r="AA44" s="454" t="e">
        <f>MIN(AA41:AA43)</f>
        <v>#REF!</v>
      </c>
      <c r="AC44" s="454"/>
    </row>
    <row r="45" spans="1:51" ht="14.1" customHeight="1">
      <c r="B45" s="451" t="str">
        <f>Calcs!B18</f>
        <v xml:space="preserve">EQUIVALENT 3-PHASE LOAD ( 10,000 VA X 3 ) = </v>
      </c>
      <c r="D45" s="497"/>
      <c r="E45" s="550">
        <f>Calcs!E18</f>
        <v>30000</v>
      </c>
      <c r="F45" s="550"/>
      <c r="G45" s="497"/>
      <c r="H45" s="497" t="str">
        <f>Calcs!G20</f>
        <v>DRYER DEMAND</v>
      </c>
      <c r="I45" s="497"/>
      <c r="J45" s="497"/>
      <c r="K45" s="497"/>
      <c r="L45" s="497"/>
      <c r="N45" s="521"/>
      <c r="T45" s="436" t="s">
        <v>349</v>
      </c>
      <c r="U45" s="454">
        <f>SUM(E21:E27)</f>
        <v>0</v>
      </c>
      <c r="V45" s="454"/>
      <c r="W45" s="454"/>
    </row>
    <row r="46" spans="1:51" ht="14.1" customHeight="1">
      <c r="B46" s="451"/>
      <c r="D46" s="497"/>
      <c r="E46" s="457"/>
      <c r="F46" s="457"/>
      <c r="G46" s="457"/>
      <c r="H46" s="497" t="str">
        <f>Calcs!G21</f>
        <v>PROHIBITED REDUCTION NEC 220.61(C)(1)</v>
      </c>
      <c r="I46" s="457"/>
      <c r="J46" s="457"/>
      <c r="K46" s="457"/>
      <c r="L46" s="457"/>
      <c r="N46" s="521"/>
      <c r="T46" s="436" t="s">
        <v>366</v>
      </c>
      <c r="U46" s="454">
        <f>H21</f>
        <v>0</v>
      </c>
      <c r="V46" s="454"/>
      <c r="W46" s="454"/>
      <c r="Z46" s="454"/>
      <c r="AB46" s="504"/>
    </row>
    <row r="47" spans="1:51" ht="14.1" customHeight="1">
      <c r="B47" s="451" t="str">
        <f>Calcs!B20</f>
        <v>WATER HEATER LOAD</v>
      </c>
      <c r="D47" s="497"/>
      <c r="E47" s="550">
        <f>Calcs!E20</f>
        <v>15000</v>
      </c>
      <c r="F47" s="550"/>
      <c r="G47" s="457"/>
      <c r="H47" s="497" t="str">
        <f>Calcs!G22</f>
        <v xml:space="preserve">100% OF TABLE 220.54 ( 30,000 VA 0.75 VA X 1.00 ) = </v>
      </c>
      <c r="I47" s="457"/>
      <c r="J47" s="457"/>
      <c r="K47" s="457"/>
      <c r="L47" s="457"/>
      <c r="N47" s="521">
        <f>Calcs!J22</f>
        <v>22500</v>
      </c>
      <c r="T47" s="436" t="s">
        <v>750</v>
      </c>
      <c r="U47" s="454">
        <f>SUM(K21:K27)</f>
        <v>0</v>
      </c>
      <c r="V47" s="454"/>
      <c r="W47" s="454"/>
      <c r="Z47" s="454"/>
      <c r="AB47" s="504"/>
    </row>
    <row r="48" spans="1:51" ht="14.1" customHeight="1">
      <c r="B48" s="451" t="str">
        <f>Calcs!B21</f>
        <v>MISC LOADS</v>
      </c>
      <c r="C48" s="451"/>
      <c r="D48" s="451"/>
      <c r="E48" s="550">
        <f>Calcs!E21</f>
        <v>7200</v>
      </c>
      <c r="F48" s="550"/>
      <c r="G48" s="451"/>
      <c r="H48" s="497"/>
      <c r="I48" s="457"/>
      <c r="J48" s="457"/>
      <c r="K48" s="457"/>
      <c r="L48" s="457"/>
      <c r="N48" s="521"/>
      <c r="T48" s="436" t="s">
        <v>788</v>
      </c>
      <c r="U48" s="454">
        <f>MAX(U45:U47)</f>
        <v>0</v>
      </c>
      <c r="V48" s="454"/>
      <c r="W48" s="454" t="s">
        <v>785</v>
      </c>
      <c r="X48" s="454">
        <f>SUM(E21:L23)</f>
        <v>0</v>
      </c>
      <c r="Z48" s="454"/>
      <c r="AB48" s="504"/>
    </row>
    <row r="49" spans="2:56" ht="14.1" customHeight="1">
      <c r="B49" s="451" t="str">
        <f>Calcs!B22</f>
        <v>LARGEST HEATING OR COOLING LOAD</v>
      </c>
      <c r="C49" s="451"/>
      <c r="D49" s="451"/>
      <c r="E49" s="550">
        <f>Calcs!E22</f>
        <v>24000</v>
      </c>
      <c r="F49" s="550"/>
      <c r="G49" s="451"/>
      <c r="H49" s="497" t="str">
        <f>Calcs!G24</f>
        <v>UNBALANCED 120 VOLT MISC. LOADS AT 100%</v>
      </c>
      <c r="I49" s="457"/>
      <c r="J49" s="457"/>
      <c r="K49" s="457"/>
      <c r="L49" s="457"/>
      <c r="N49" s="521">
        <f>Calcs!J24</f>
        <v>2400</v>
      </c>
    </row>
    <row r="50" spans="2:56" ht="14.1" customHeight="1">
      <c r="B50" s="451" t="str">
        <f>Calcs!B23</f>
        <v>TOTAL CONNECTED LOAD</v>
      </c>
      <c r="C50" s="451"/>
      <c r="D50" s="451"/>
      <c r="E50" s="551">
        <f>Calcs!E23</f>
        <v>178200</v>
      </c>
      <c r="F50" s="551"/>
      <c r="G50" s="451"/>
      <c r="H50" s="497"/>
      <c r="I50" s="457"/>
      <c r="J50" s="457"/>
      <c r="K50" s="457"/>
      <c r="L50" s="457"/>
      <c r="N50" s="521"/>
    </row>
    <row r="51" spans="2:56" ht="14.1" customHeight="1">
      <c r="B51" s="451"/>
      <c r="C51" s="451"/>
      <c r="D51" s="451"/>
      <c r="E51" s="454"/>
      <c r="F51" s="454"/>
      <c r="G51" s="451"/>
      <c r="H51" s="497" t="str">
        <f>Calcs!G26</f>
        <v>NEUTRAL LOAD VA</v>
      </c>
      <c r="I51" s="454"/>
      <c r="J51" s="454"/>
      <c r="K51" s="454"/>
      <c r="L51" s="454"/>
      <c r="N51" s="522">
        <f>Calcs!J26</f>
        <v>66750</v>
      </c>
      <c r="T51" s="436" t="s">
        <v>310</v>
      </c>
      <c r="U51" s="436" t="e">
        <f>#REF!</f>
        <v>#REF!</v>
      </c>
    </row>
    <row r="52" spans="2:56" ht="14.1" customHeight="1">
      <c r="B52" s="451" t="str">
        <f>Calcs!B25</f>
        <v>CONNECTED AMPS ( 178,200 VA ÷ 208 V ÷ 1.732 ) = 495 A</v>
      </c>
      <c r="C52" s="451"/>
      <c r="D52" s="451"/>
      <c r="E52" s="550"/>
      <c r="F52" s="550"/>
      <c r="G52" s="451"/>
      <c r="H52" s="497"/>
      <c r="I52" s="454"/>
      <c r="J52" s="454"/>
      <c r="K52" s="454"/>
      <c r="L52" s="454"/>
      <c r="N52" s="521"/>
      <c r="T52" s="436" t="s">
        <v>377</v>
      </c>
      <c r="U52" s="454" t="e">
        <f>#REF!</f>
        <v>#REF!</v>
      </c>
    </row>
    <row r="53" spans="2:56" ht="14.1" customHeight="1">
      <c r="B53" s="451" t="str">
        <f>Calcs!B26</f>
        <v>DEMAND FACTOR NEC TABLE 220.84 = 44%</v>
      </c>
      <c r="C53" s="451"/>
      <c r="D53" s="451"/>
      <c r="E53" s="550"/>
      <c r="F53" s="550"/>
      <c r="G53" s="451"/>
      <c r="H53" s="497" t="str">
        <f>Calcs!G28</f>
        <v xml:space="preserve">NEUTRAL LOAD ( 66,750 VA ÷ 1.732 ÷ 208 V ) = </v>
      </c>
      <c r="I53" s="454"/>
      <c r="J53" s="454"/>
      <c r="K53" s="454"/>
      <c r="L53" s="454"/>
      <c r="N53" s="523">
        <f>Calcs!J28</f>
        <v>185</v>
      </c>
      <c r="T53" s="436" t="s">
        <v>789</v>
      </c>
      <c r="U53" s="505" t="e">
        <f>IF(U52=0,0,U51/U52)</f>
        <v>#REF!</v>
      </c>
      <c r="V53" s="505"/>
      <c r="W53" s="505"/>
    </row>
    <row r="54" spans="2:56" ht="14.1" customHeight="1">
      <c r="B54" s="451" t="str">
        <f>Calcs!B27</f>
        <v>ADJUSTED AMPS (495 A X 0.44 ) =</v>
      </c>
      <c r="C54" s="451"/>
      <c r="D54" s="451"/>
      <c r="E54" s="553">
        <f>Calcs!E27</f>
        <v>218</v>
      </c>
      <c r="F54" s="553"/>
      <c r="G54" s="451"/>
      <c r="H54" s="497" t="s">
        <v>804</v>
      </c>
      <c r="N54" s="523">
        <f>Calcs!J29</f>
        <v>0</v>
      </c>
    </row>
    <row r="55" spans="2:56" ht="14.1" customHeight="1">
      <c r="B55" s="451" t="str">
        <f>Calcs!B28</f>
        <v>NON-RESIDENTIAL LOAD</v>
      </c>
      <c r="C55" s="451"/>
      <c r="E55" s="553">
        <f>Calcs!E28</f>
        <v>0</v>
      </c>
      <c r="F55" s="553"/>
      <c r="H55" s="497" t="s">
        <v>806</v>
      </c>
      <c r="N55" s="524">
        <f>SUM(N53:N54)</f>
        <v>185</v>
      </c>
      <c r="U55" s="436" t="s">
        <v>180</v>
      </c>
      <c r="V55" s="436" t="s">
        <v>790</v>
      </c>
      <c r="W55" s="436" t="e">
        <f>TEXT(U51, "#,##0")</f>
        <v>#REF!</v>
      </c>
      <c r="X55" s="436" t="s">
        <v>160</v>
      </c>
      <c r="Y55" s="436" t="s">
        <v>791</v>
      </c>
      <c r="Z55" s="436" t="e">
        <f>TEXT(U52, "#,##0")</f>
        <v>#REF!</v>
      </c>
      <c r="AA55" s="436" t="s">
        <v>792</v>
      </c>
      <c r="AB55" s="436" t="e">
        <f>ROUND(U53*100,1)</f>
        <v>#REF!</v>
      </c>
      <c r="AC55" s="436" t="s">
        <v>793</v>
      </c>
      <c r="AD55" s="436" t="e">
        <f>CONCATENATE(U55,V55,W55,X55,Y55,Z55,AA55,AB55,AC55)</f>
        <v>#REF!</v>
      </c>
    </row>
    <row r="56" spans="2:56" ht="14.1" customHeight="1">
      <c r="B56" s="451" t="str">
        <f>Calcs!B29</f>
        <v>SUBTOTAL</v>
      </c>
      <c r="C56" s="451"/>
      <c r="E56" s="552">
        <f>Calcs!E29</f>
        <v>218</v>
      </c>
      <c r="F56" s="552"/>
      <c r="H56" s="497"/>
      <c r="N56" s="523"/>
    </row>
    <row r="57" spans="2:56" ht="14.1" customHeight="1">
      <c r="B57" s="451" t="str">
        <f>Calcs!B30</f>
        <v xml:space="preserve">FUTURE FACTOR ( 218 A X 0.00 ) = </v>
      </c>
      <c r="C57" s="451"/>
      <c r="E57" s="553">
        <f>Calcs!E30</f>
        <v>0</v>
      </c>
      <c r="F57" s="553"/>
      <c r="H57" s="497" t="str">
        <f>Calcs!G30</f>
        <v>FURTHER DEMAND FACTOR - NEC 220.61(B)(2)</v>
      </c>
      <c r="N57" s="523"/>
    </row>
    <row r="58" spans="2:56" ht="14.1" customHeight="1">
      <c r="B58" s="520" t="str">
        <f>Calcs!B31</f>
        <v>SERVICE SIZE</v>
      </c>
      <c r="C58" s="451"/>
      <c r="E58" s="554">
        <f>Calcs!E31</f>
        <v>218</v>
      </c>
      <c r="F58" s="554"/>
      <c r="H58" s="497" t="str">
        <f>Calcs!G31</f>
        <v>FIRST 200 A @ 100% (185 A X 1.00 ) =</v>
      </c>
      <c r="N58" s="523">
        <f>Calcs!J31</f>
        <v>185</v>
      </c>
      <c r="BD58" s="436" t="s">
        <v>752</v>
      </c>
    </row>
    <row r="59" spans="2:56" ht="14.1" customHeight="1">
      <c r="B59" s="451"/>
      <c r="C59" s="451"/>
      <c r="H59" s="497" t="str">
        <f>Calcs!G32</f>
        <v>REMAINDER @ 70% ( 0 A X 0.70 ) =</v>
      </c>
      <c r="N59" s="523">
        <f>Calcs!J32</f>
        <v>0</v>
      </c>
      <c r="T59" s="486"/>
      <c r="BD59" s="436" t="s">
        <v>737</v>
      </c>
    </row>
    <row r="60" spans="2:56" ht="14.1" customHeight="1">
      <c r="B60" s="451"/>
      <c r="C60" s="451"/>
      <c r="H60" s="526" t="str">
        <f>Calcs!G34</f>
        <v>MINIMUM NEUTRAL CONDUCTOR AMPACITY</v>
      </c>
      <c r="N60" s="525">
        <f>SUM(N58:N59)</f>
        <v>185</v>
      </c>
    </row>
    <row r="61" spans="2:56" ht="14.1" customHeight="1">
      <c r="B61" s="451"/>
      <c r="C61" s="451"/>
      <c r="H61" s="497"/>
      <c r="N61" s="527"/>
      <c r="BD61" s="436" t="s">
        <v>794</v>
      </c>
    </row>
    <row r="62" spans="2:56" ht="14.1" customHeight="1">
      <c r="H62" s="497"/>
      <c r="N62" s="527"/>
      <c r="S62" s="454"/>
      <c r="AC62" s="506"/>
      <c r="AD62" s="506"/>
      <c r="AE62" s="506"/>
      <c r="AF62" s="506"/>
      <c r="AG62" s="506"/>
      <c r="AH62" s="506"/>
      <c r="AI62" s="506"/>
      <c r="AJ62" s="506"/>
      <c r="AK62" s="506"/>
      <c r="AL62" s="506"/>
      <c r="AM62" s="506"/>
      <c r="AN62" s="506"/>
      <c r="AO62" s="506"/>
    </row>
    <row r="63" spans="2:56" ht="14.1" customHeight="1">
      <c r="C63" s="436" t="s">
        <v>942</v>
      </c>
      <c r="V63" s="441"/>
      <c r="W63" s="441"/>
      <c r="X63" s="441"/>
      <c r="Y63" s="441"/>
      <c r="Z63" s="441"/>
      <c r="AC63" s="506"/>
      <c r="AD63" s="506"/>
      <c r="AE63" s="506"/>
      <c r="AF63" s="506"/>
      <c r="AG63" s="506"/>
      <c r="AH63" s="506"/>
      <c r="AI63" s="506"/>
      <c r="AJ63" s="506"/>
      <c r="AK63" s="506"/>
      <c r="AL63" s="506"/>
      <c r="AM63" s="506"/>
      <c r="AN63" s="506"/>
      <c r="AO63" s="506"/>
      <c r="BD63" s="441" t="s">
        <v>764</v>
      </c>
    </row>
    <row r="64" spans="2:56" ht="14.1" customHeight="1">
      <c r="V64" s="441"/>
      <c r="W64" s="457"/>
      <c r="X64" s="441"/>
      <c r="Y64" s="441"/>
      <c r="Z64" s="441"/>
      <c r="AD64" s="454"/>
      <c r="AL64" s="506"/>
      <c r="AM64" s="506"/>
      <c r="AN64" s="506"/>
      <c r="AO64" s="506"/>
    </row>
    <row r="65" spans="22:56" ht="14.1" hidden="1" customHeight="1">
      <c r="V65" s="457"/>
      <c r="W65" s="457"/>
      <c r="X65" s="457"/>
      <c r="Y65" s="457"/>
      <c r="Z65" s="457"/>
      <c r="AA65" s="457"/>
      <c r="AC65" s="457"/>
      <c r="AJ65" s="457"/>
      <c r="AL65" s="506"/>
      <c r="AM65" s="506"/>
      <c r="AN65" s="457"/>
      <c r="AO65" s="506"/>
      <c r="BD65" s="436" t="s">
        <v>768</v>
      </c>
    </row>
    <row r="66" spans="22:56" ht="14.1" hidden="1" customHeight="1">
      <c r="V66" s="457"/>
      <c r="W66" s="457"/>
      <c r="X66" s="457"/>
      <c r="Y66" s="457"/>
      <c r="Z66" s="457"/>
      <c r="AA66" s="457"/>
      <c r="AC66" s="457"/>
      <c r="AE66" s="494"/>
      <c r="AJ66" s="457"/>
      <c r="AL66" s="506"/>
      <c r="AM66" s="506"/>
      <c r="AN66" s="457"/>
      <c r="AO66" s="506"/>
    </row>
    <row r="67" spans="22:56" ht="14.1" hidden="1" customHeight="1">
      <c r="V67" s="457"/>
      <c r="W67" s="457"/>
      <c r="X67" s="457"/>
      <c r="Y67" s="457"/>
      <c r="Z67" s="457"/>
      <c r="AA67" s="457"/>
      <c r="AC67" s="457"/>
      <c r="AJ67" s="457"/>
      <c r="AL67" s="506"/>
      <c r="AM67" s="506"/>
      <c r="AN67" s="457"/>
      <c r="AO67" s="506"/>
      <c r="BD67" s="436" t="s">
        <v>795</v>
      </c>
    </row>
    <row r="68" spans="22:56" ht="14.1" hidden="1" customHeight="1">
      <c r="V68" s="457"/>
      <c r="W68" s="457"/>
      <c r="X68" s="457"/>
      <c r="Y68" s="457"/>
      <c r="Z68" s="457"/>
      <c r="AA68" s="457"/>
      <c r="AC68" s="454"/>
      <c r="AJ68" s="457"/>
      <c r="AL68" s="506"/>
      <c r="AM68" s="506"/>
      <c r="AN68" s="457"/>
      <c r="AO68" s="506"/>
    </row>
    <row r="69" spans="22:56" ht="14.1" hidden="1" customHeight="1">
      <c r="V69" s="457"/>
      <c r="W69" s="457"/>
      <c r="X69" s="457"/>
      <c r="Y69" s="457"/>
      <c r="Z69" s="457"/>
      <c r="AA69" s="457"/>
      <c r="AC69" s="454"/>
      <c r="AJ69" s="457"/>
      <c r="AL69" s="506"/>
      <c r="AM69" s="506"/>
      <c r="AN69" s="457"/>
      <c r="AO69" s="506"/>
    </row>
    <row r="70" spans="22:56" ht="14.1" hidden="1" customHeight="1">
      <c r="V70" s="457"/>
      <c r="W70" s="457"/>
      <c r="X70" s="457"/>
      <c r="Y70" s="457"/>
      <c r="Z70" s="457"/>
      <c r="AA70" s="457"/>
      <c r="AC70" s="454"/>
      <c r="AJ70" s="457"/>
      <c r="AL70" s="506"/>
      <c r="AM70" s="506"/>
      <c r="AN70" s="457"/>
      <c r="AO70" s="506"/>
    </row>
    <row r="71" spans="22:56" ht="14.1" hidden="1" customHeight="1">
      <c r="V71" s="441"/>
      <c r="W71" s="507"/>
      <c r="X71" s="457"/>
      <c r="Y71" s="457"/>
      <c r="Z71" s="457"/>
      <c r="AA71" s="457"/>
      <c r="AJ71" s="457"/>
      <c r="AL71" s="506"/>
      <c r="AM71" s="506"/>
      <c r="AN71" s="457"/>
      <c r="AO71" s="506"/>
    </row>
    <row r="72" spans="22:56" ht="14.1" hidden="1" customHeight="1">
      <c r="V72" s="441"/>
      <c r="W72" s="441"/>
      <c r="X72" s="457"/>
      <c r="Y72" s="457"/>
      <c r="Z72" s="457"/>
      <c r="AA72" s="457"/>
      <c r="AJ72" s="457"/>
      <c r="AL72" s="506"/>
      <c r="AM72" s="506"/>
      <c r="AN72" s="457"/>
      <c r="AO72" s="506"/>
    </row>
    <row r="73" spans="22:56" ht="14.1" hidden="1" customHeight="1">
      <c r="V73" s="441"/>
      <c r="W73" s="441"/>
      <c r="X73" s="457"/>
      <c r="Y73" s="457"/>
      <c r="Z73" s="457"/>
      <c r="AA73" s="457"/>
      <c r="AJ73" s="457"/>
      <c r="AL73" s="506"/>
      <c r="AM73" s="506"/>
      <c r="AN73" s="457"/>
      <c r="AO73" s="506"/>
    </row>
    <row r="74" spans="22:56" ht="14.1" hidden="1" customHeight="1">
      <c r="V74" s="441"/>
      <c r="W74" s="441"/>
      <c r="X74" s="457"/>
      <c r="Y74" s="457"/>
      <c r="Z74" s="457"/>
      <c r="AA74" s="457"/>
      <c r="AJ74" s="457"/>
      <c r="AL74" s="506"/>
      <c r="AM74" s="506"/>
      <c r="AN74" s="457"/>
      <c r="AO74" s="506"/>
    </row>
    <row r="75" spans="22:56" ht="14.1" hidden="1" customHeight="1">
      <c r="V75" s="441"/>
      <c r="W75" s="441"/>
      <c r="X75" s="457"/>
      <c r="Y75" s="457"/>
      <c r="Z75" s="457"/>
      <c r="AA75" s="457"/>
      <c r="AJ75" s="457"/>
      <c r="AL75" s="506"/>
      <c r="AM75" s="506"/>
      <c r="AN75" s="457"/>
      <c r="AO75" s="506"/>
    </row>
    <row r="76" spans="22:56" ht="14.1" hidden="1" customHeight="1">
      <c r="V76" s="441"/>
      <c r="W76" s="441"/>
      <c r="X76" s="457"/>
      <c r="Y76" s="457"/>
      <c r="Z76" s="457"/>
      <c r="AA76" s="457"/>
      <c r="AJ76" s="457"/>
      <c r="AL76" s="506"/>
      <c r="AM76" s="506"/>
      <c r="AN76" s="457"/>
      <c r="AO76" s="506"/>
    </row>
    <row r="77" spans="22:56" ht="14.1" hidden="1" customHeight="1">
      <c r="V77" s="441"/>
      <c r="W77" s="441"/>
      <c r="X77" s="441"/>
      <c r="Y77" s="457"/>
      <c r="Z77" s="457"/>
      <c r="AA77" s="457"/>
      <c r="AJ77" s="457"/>
      <c r="AL77" s="506"/>
      <c r="AM77" s="506"/>
      <c r="AN77" s="457"/>
      <c r="AO77" s="506"/>
    </row>
    <row r="78" spans="22:56" ht="14.1" hidden="1" customHeight="1">
      <c r="V78" s="441"/>
      <c r="W78" s="441"/>
      <c r="X78" s="457"/>
      <c r="Y78" s="457"/>
      <c r="Z78" s="457"/>
      <c r="AA78" s="457"/>
      <c r="AJ78" s="457"/>
      <c r="AL78" s="506"/>
      <c r="AM78" s="506"/>
      <c r="AN78" s="457"/>
      <c r="AO78" s="506"/>
    </row>
    <row r="79" spans="22:56" ht="14.1" hidden="1" customHeight="1">
      <c r="V79" s="441"/>
      <c r="W79" s="441"/>
      <c r="X79" s="441"/>
      <c r="Y79" s="441"/>
      <c r="Z79" s="457"/>
      <c r="AA79" s="457"/>
      <c r="AJ79" s="457"/>
      <c r="AL79" s="506"/>
      <c r="AM79" s="506"/>
      <c r="AN79" s="506"/>
      <c r="AO79" s="506"/>
    </row>
    <row r="80" spans="22:56" ht="14.1" hidden="1" customHeight="1">
      <c r="V80" s="441"/>
      <c r="W80" s="441"/>
      <c r="X80" s="441"/>
      <c r="Y80" s="441"/>
      <c r="Z80" s="457"/>
      <c r="AA80" s="457"/>
      <c r="AJ80" s="457"/>
      <c r="AL80" s="506"/>
      <c r="AM80" s="506"/>
      <c r="AN80" s="506"/>
      <c r="AO80" s="506"/>
    </row>
    <row r="81" spans="21:41" ht="14.1" hidden="1" customHeight="1">
      <c r="V81" s="441"/>
      <c r="W81" s="441"/>
      <c r="X81" s="441"/>
      <c r="Y81" s="441"/>
      <c r="Z81" s="457"/>
      <c r="AA81" s="457"/>
      <c r="AJ81" s="457"/>
      <c r="AL81" s="506"/>
      <c r="AM81" s="506"/>
      <c r="AN81" s="506"/>
      <c r="AO81" s="506"/>
    </row>
    <row r="82" spans="21:41" ht="14.1" hidden="1" customHeight="1">
      <c r="V82" s="441"/>
      <c r="W82" s="441"/>
      <c r="X82" s="441"/>
      <c r="Y82" s="441"/>
      <c r="Z82" s="457"/>
      <c r="AA82" s="457"/>
      <c r="AJ82" s="457"/>
      <c r="AL82" s="506"/>
      <c r="AM82" s="506"/>
      <c r="AN82" s="506"/>
      <c r="AO82" s="506"/>
    </row>
    <row r="83" spans="21:41" ht="14.1" hidden="1" customHeight="1">
      <c r="V83" s="441"/>
      <c r="W83" s="441"/>
      <c r="X83" s="441"/>
      <c r="Y83" s="441"/>
      <c r="Z83" s="457"/>
      <c r="AA83" s="457"/>
      <c r="AJ83" s="457"/>
      <c r="AL83" s="506"/>
      <c r="AM83" s="506"/>
      <c r="AN83" s="506"/>
      <c r="AO83" s="506"/>
    </row>
    <row r="84" spans="21:41" ht="14.1" hidden="1" customHeight="1">
      <c r="V84" s="441"/>
      <c r="W84" s="441"/>
      <c r="X84" s="441"/>
      <c r="Y84" s="441"/>
      <c r="Z84" s="457"/>
      <c r="AA84" s="457"/>
      <c r="AJ84" s="457"/>
      <c r="AL84" s="506"/>
      <c r="AM84" s="506"/>
      <c r="AN84" s="506"/>
      <c r="AO84" s="506"/>
    </row>
    <row r="85" spans="21:41" ht="14.1" hidden="1" customHeight="1">
      <c r="V85" s="441"/>
      <c r="W85" s="441"/>
      <c r="X85" s="441"/>
      <c r="Y85" s="441"/>
      <c r="Z85" s="457"/>
      <c r="AA85" s="457"/>
      <c r="AL85" s="506"/>
      <c r="AM85" s="506"/>
      <c r="AN85" s="506"/>
      <c r="AO85" s="506"/>
    </row>
    <row r="86" spans="21:41" ht="14.1" hidden="1" customHeight="1">
      <c r="V86" s="441"/>
      <c r="W86" s="441"/>
      <c r="X86" s="441"/>
      <c r="Y86" s="441"/>
      <c r="AL86" s="506"/>
      <c r="AM86" s="506"/>
      <c r="AN86" s="506"/>
      <c r="AO86" s="506"/>
    </row>
    <row r="87" spans="21:41" ht="14.1" hidden="1" customHeight="1">
      <c r="AL87" s="506"/>
      <c r="AM87" s="506"/>
      <c r="AN87" s="506"/>
      <c r="AO87" s="506"/>
    </row>
    <row r="88" spans="21:41" ht="14.1" hidden="1" customHeight="1">
      <c r="U88" s="506"/>
      <c r="V88" s="506"/>
      <c r="W88" s="506"/>
      <c r="X88" s="506"/>
      <c r="Y88" s="506"/>
      <c r="Z88" s="506"/>
      <c r="AA88" s="506"/>
      <c r="AB88" s="506"/>
      <c r="AC88" s="506"/>
      <c r="AD88" s="506"/>
      <c r="AE88" s="506"/>
      <c r="AF88" s="506"/>
      <c r="AG88" s="506"/>
      <c r="AH88" s="506"/>
      <c r="AI88" s="506"/>
      <c r="AJ88" s="506"/>
      <c r="AK88" s="506"/>
      <c r="AL88" s="506"/>
      <c r="AM88" s="506"/>
      <c r="AN88" s="506"/>
      <c r="AO88" s="506"/>
    </row>
    <row r="89" spans="21:41" ht="14.1" hidden="1" customHeight="1">
      <c r="U89" s="506"/>
      <c r="V89" s="506"/>
      <c r="W89" s="506"/>
      <c r="X89" s="506"/>
      <c r="Y89" s="506"/>
      <c r="Z89" s="506"/>
      <c r="AA89" s="506"/>
      <c r="AB89" s="506"/>
      <c r="AC89" s="506"/>
      <c r="AD89" s="506"/>
      <c r="AE89" s="506"/>
      <c r="AF89" s="506"/>
      <c r="AG89" s="506"/>
      <c r="AH89" s="506"/>
      <c r="AI89" s="506"/>
      <c r="AJ89" s="506"/>
      <c r="AK89" s="506"/>
      <c r="AL89" s="506"/>
      <c r="AM89" s="506"/>
      <c r="AN89" s="506"/>
      <c r="AO89" s="506"/>
    </row>
    <row r="90" spans="21:41" ht="14.1" hidden="1" customHeight="1">
      <c r="U90" s="506"/>
      <c r="V90" s="506"/>
      <c r="W90" s="506"/>
      <c r="X90" s="506"/>
      <c r="Y90" s="506"/>
      <c r="Z90" s="506"/>
      <c r="AA90" s="506"/>
      <c r="AB90" s="506"/>
      <c r="AC90" s="506"/>
      <c r="AD90" s="506"/>
      <c r="AE90" s="506"/>
      <c r="AF90" s="506"/>
      <c r="AG90" s="506"/>
      <c r="AH90" s="506"/>
      <c r="AI90" s="506"/>
      <c r="AJ90" s="506"/>
      <c r="AK90" s="506"/>
      <c r="AL90" s="506"/>
      <c r="AM90" s="506"/>
      <c r="AN90" s="506"/>
      <c r="AO90" s="506"/>
    </row>
    <row r="91" spans="21:41" ht="14.1" hidden="1" customHeight="1">
      <c r="U91" s="506"/>
      <c r="V91" s="506"/>
      <c r="W91" s="506"/>
      <c r="X91" s="506"/>
      <c r="Y91" s="506"/>
      <c r="Z91" s="506"/>
      <c r="AA91" s="506"/>
      <c r="AB91" s="506"/>
      <c r="AC91" s="508"/>
      <c r="AD91" s="506"/>
      <c r="AE91" s="506"/>
      <c r="AF91" s="506"/>
      <c r="AG91" s="506"/>
      <c r="AH91" s="506"/>
      <c r="AI91" s="506"/>
      <c r="AJ91" s="506"/>
      <c r="AK91" s="506"/>
      <c r="AL91" s="506"/>
      <c r="AM91" s="506"/>
      <c r="AN91" s="506"/>
      <c r="AO91" s="506"/>
    </row>
    <row r="92" spans="21:41" ht="14.1" hidden="1" customHeight="1">
      <c r="U92" s="506"/>
      <c r="V92" s="506"/>
      <c r="W92" s="506"/>
      <c r="X92" s="506"/>
      <c r="Y92" s="506"/>
      <c r="Z92" s="506"/>
      <c r="AA92" s="506"/>
      <c r="AB92" s="506"/>
      <c r="AC92" s="506"/>
      <c r="AD92" s="506"/>
      <c r="AE92" s="506"/>
      <c r="AF92" s="506"/>
      <c r="AG92" s="506"/>
      <c r="AH92" s="506"/>
      <c r="AI92" s="506"/>
      <c r="AJ92" s="506"/>
      <c r="AK92" s="506"/>
      <c r="AL92" s="506"/>
      <c r="AM92" s="506"/>
      <c r="AN92" s="506"/>
      <c r="AO92" s="506"/>
    </row>
    <row r="93" spans="21:41" ht="14.1" hidden="1" customHeight="1">
      <c r="U93" s="506"/>
      <c r="V93" s="506"/>
      <c r="W93" s="506"/>
      <c r="X93" s="506"/>
      <c r="Y93" s="506"/>
      <c r="Z93" s="506"/>
      <c r="AA93" s="506"/>
      <c r="AB93" s="506"/>
      <c r="AC93" s="506"/>
      <c r="AD93" s="506"/>
      <c r="AE93" s="506"/>
      <c r="AF93" s="506"/>
      <c r="AG93" s="506"/>
      <c r="AH93" s="506"/>
      <c r="AI93" s="506"/>
      <c r="AJ93" s="506"/>
      <c r="AK93" s="506"/>
      <c r="AL93" s="506"/>
      <c r="AM93" s="506"/>
      <c r="AN93" s="506"/>
      <c r="AO93" s="506"/>
    </row>
    <row r="94" spans="21:41" ht="14.1" hidden="1" customHeight="1">
      <c r="U94" s="506"/>
      <c r="V94" s="506"/>
      <c r="W94" s="506"/>
      <c r="X94" s="506"/>
      <c r="Y94" s="506"/>
      <c r="Z94" s="506"/>
      <c r="AA94" s="506"/>
      <c r="AB94" s="506"/>
      <c r="AC94" s="506"/>
      <c r="AD94" s="506"/>
      <c r="AE94" s="506"/>
      <c r="AF94" s="506"/>
      <c r="AG94" s="506"/>
      <c r="AH94" s="506"/>
      <c r="AI94" s="506"/>
      <c r="AJ94" s="506"/>
      <c r="AK94" s="506"/>
      <c r="AL94" s="506"/>
      <c r="AM94" s="506"/>
      <c r="AN94" s="506"/>
      <c r="AO94" s="506"/>
    </row>
    <row r="95" spans="21:41" ht="14.1" hidden="1" customHeight="1">
      <c r="U95" s="506"/>
      <c r="V95" s="506"/>
      <c r="W95" s="506"/>
      <c r="X95" s="506"/>
      <c r="Y95" s="506"/>
      <c r="Z95" s="506"/>
      <c r="AA95" s="506"/>
      <c r="AB95" s="506"/>
      <c r="AC95" s="506"/>
      <c r="AD95" s="506"/>
      <c r="AE95" s="506"/>
      <c r="AF95" s="506"/>
      <c r="AG95" s="506"/>
      <c r="AH95" s="506"/>
      <c r="AI95" s="506"/>
      <c r="AJ95" s="506"/>
      <c r="AK95" s="506"/>
      <c r="AL95" s="506"/>
      <c r="AM95" s="506"/>
      <c r="AN95" s="506"/>
      <c r="AO95" s="506"/>
    </row>
    <row r="96" spans="21:41" ht="14.1" hidden="1" customHeight="1">
      <c r="U96" s="506"/>
      <c r="V96" s="506"/>
      <c r="W96" s="506"/>
      <c r="X96" s="506"/>
      <c r="Y96" s="506"/>
      <c r="Z96" s="506"/>
      <c r="AA96" s="506"/>
      <c r="AB96" s="506"/>
      <c r="AC96" s="506"/>
      <c r="AD96" s="506"/>
      <c r="AE96" s="506"/>
      <c r="AF96" s="506"/>
      <c r="AG96" s="506"/>
      <c r="AH96" s="506"/>
      <c r="AI96" s="506"/>
      <c r="AJ96" s="506"/>
      <c r="AK96" s="506"/>
      <c r="AL96" s="506"/>
      <c r="AM96" s="506"/>
      <c r="AN96" s="506"/>
      <c r="AO96" s="506"/>
    </row>
    <row r="97" spans="21:41" ht="14.1" hidden="1" customHeight="1">
      <c r="U97" s="506"/>
      <c r="V97" s="506"/>
      <c r="W97" s="506"/>
      <c r="X97" s="506"/>
      <c r="Y97" s="506"/>
      <c r="Z97" s="506"/>
      <c r="AA97" s="506"/>
      <c r="AB97" s="506"/>
      <c r="AC97" s="506"/>
      <c r="AD97" s="506"/>
      <c r="AE97" s="506"/>
      <c r="AF97" s="506"/>
      <c r="AG97" s="506"/>
      <c r="AH97" s="506"/>
      <c r="AI97" s="506"/>
      <c r="AJ97" s="506"/>
      <c r="AK97" s="506"/>
      <c r="AL97" s="506"/>
      <c r="AM97" s="506"/>
      <c r="AN97" s="506"/>
      <c r="AO97" s="506"/>
    </row>
    <row r="98" spans="21:41" ht="14.1" hidden="1" customHeight="1">
      <c r="U98" s="506"/>
      <c r="V98" s="506"/>
      <c r="W98" s="506"/>
      <c r="X98" s="506"/>
      <c r="Y98" s="506"/>
      <c r="Z98" s="506"/>
      <c r="AA98" s="506"/>
      <c r="AB98" s="506"/>
      <c r="AC98" s="506"/>
      <c r="AD98" s="506"/>
      <c r="AE98" s="506"/>
      <c r="AF98" s="506"/>
      <c r="AG98" s="506"/>
      <c r="AH98" s="506"/>
      <c r="AI98" s="506"/>
      <c r="AJ98" s="506"/>
      <c r="AK98" s="506"/>
      <c r="AL98" s="506"/>
      <c r="AM98" s="506"/>
      <c r="AN98" s="506"/>
      <c r="AO98" s="506"/>
    </row>
    <row r="99" spans="21:41" ht="14.1" hidden="1" customHeight="1">
      <c r="U99" s="506"/>
      <c r="V99" s="506"/>
      <c r="W99" s="506"/>
      <c r="X99" s="457"/>
      <c r="Y99" s="506"/>
      <c r="Z99" s="506"/>
      <c r="AA99" s="506"/>
      <c r="AB99" s="506"/>
      <c r="AC99" s="506"/>
      <c r="AD99" s="506"/>
      <c r="AE99" s="506"/>
      <c r="AF99" s="506"/>
      <c r="AG99" s="506"/>
      <c r="AH99" s="506"/>
      <c r="AI99" s="506"/>
      <c r="AJ99" s="506"/>
      <c r="AK99" s="506"/>
      <c r="AL99" s="506"/>
      <c r="AM99" s="506"/>
      <c r="AN99" s="506"/>
      <c r="AO99" s="506"/>
    </row>
    <row r="100" spans="21:41" ht="14.1" hidden="1" customHeight="1">
      <c r="U100" s="506"/>
      <c r="V100" s="506"/>
      <c r="W100" s="506"/>
      <c r="X100" s="457"/>
      <c r="Y100" s="506"/>
      <c r="Z100" s="506"/>
      <c r="AA100" s="506"/>
      <c r="AB100" s="506"/>
      <c r="AC100" s="506"/>
      <c r="AD100" s="506"/>
      <c r="AE100" s="506"/>
      <c r="AF100" s="506"/>
      <c r="AG100" s="506"/>
      <c r="AH100" s="506"/>
      <c r="AI100" s="506"/>
      <c r="AJ100" s="506"/>
      <c r="AK100" s="506"/>
      <c r="AL100" s="506"/>
      <c r="AM100" s="506"/>
      <c r="AN100" s="506"/>
      <c r="AO100" s="506"/>
    </row>
    <row r="101" spans="21:41" ht="14.1" hidden="1" customHeight="1">
      <c r="U101" s="506"/>
      <c r="V101" s="506"/>
      <c r="W101" s="506"/>
      <c r="X101" s="457"/>
      <c r="Y101" s="506"/>
      <c r="Z101" s="506"/>
      <c r="AA101" s="506"/>
      <c r="AB101" s="506"/>
      <c r="AC101" s="506"/>
      <c r="AD101" s="506"/>
      <c r="AE101" s="506"/>
      <c r="AF101" s="506"/>
      <c r="AG101" s="506"/>
      <c r="AH101" s="506"/>
      <c r="AI101" s="506"/>
      <c r="AJ101" s="506"/>
      <c r="AK101" s="506"/>
      <c r="AL101" s="506"/>
      <c r="AM101" s="506"/>
      <c r="AN101" s="506"/>
      <c r="AO101" s="506"/>
    </row>
    <row r="102" spans="21:41" ht="14.1" hidden="1" customHeight="1">
      <c r="U102" s="506"/>
      <c r="V102" s="506"/>
      <c r="W102" s="506"/>
      <c r="X102" s="457"/>
      <c r="Y102" s="506"/>
      <c r="Z102" s="506"/>
      <c r="AA102" s="506"/>
      <c r="AB102" s="506"/>
      <c r="AC102" s="506"/>
      <c r="AD102" s="506"/>
      <c r="AE102" s="506"/>
      <c r="AF102" s="506"/>
      <c r="AG102" s="506"/>
      <c r="AH102" s="506"/>
      <c r="AI102" s="506"/>
      <c r="AJ102" s="506"/>
      <c r="AK102" s="506"/>
      <c r="AL102" s="506"/>
      <c r="AM102" s="506"/>
      <c r="AN102" s="506"/>
      <c r="AO102" s="506"/>
    </row>
    <row r="103" spans="21:41" ht="14.1" hidden="1" customHeight="1">
      <c r="U103" s="506"/>
      <c r="V103" s="506"/>
      <c r="W103" s="506"/>
      <c r="X103" s="457"/>
      <c r="Y103" s="506"/>
      <c r="Z103" s="506"/>
      <c r="AA103" s="506"/>
      <c r="AB103" s="506"/>
      <c r="AC103" s="506"/>
      <c r="AD103" s="506"/>
      <c r="AE103" s="506"/>
      <c r="AF103" s="506"/>
      <c r="AG103" s="506"/>
      <c r="AH103" s="506"/>
      <c r="AI103" s="506"/>
      <c r="AJ103" s="506"/>
      <c r="AK103" s="506"/>
      <c r="AL103" s="506"/>
      <c r="AM103" s="506"/>
      <c r="AN103" s="506"/>
      <c r="AO103" s="506"/>
    </row>
    <row r="104" spans="21:41" ht="14.1" hidden="1" customHeight="1">
      <c r="U104" s="506"/>
      <c r="V104" s="506"/>
      <c r="W104" s="506"/>
      <c r="X104" s="457"/>
      <c r="Y104" s="506"/>
      <c r="Z104" s="506"/>
      <c r="AA104" s="506"/>
      <c r="AB104" s="506"/>
      <c r="AC104" s="506"/>
      <c r="AD104" s="506"/>
      <c r="AE104" s="506"/>
      <c r="AF104" s="506"/>
      <c r="AG104" s="506"/>
      <c r="AH104" s="506"/>
      <c r="AI104" s="506"/>
      <c r="AJ104" s="506"/>
      <c r="AK104" s="506"/>
      <c r="AL104" s="506"/>
      <c r="AM104" s="506"/>
      <c r="AN104" s="506"/>
      <c r="AO104" s="506"/>
    </row>
    <row r="105" spans="21:41" ht="14.1" hidden="1" customHeight="1">
      <c r="U105" s="506"/>
      <c r="V105" s="506"/>
      <c r="W105" s="506"/>
      <c r="X105" s="457"/>
      <c r="Y105" s="506"/>
      <c r="Z105" s="506"/>
      <c r="AA105" s="506"/>
      <c r="AB105" s="506"/>
      <c r="AC105" s="506"/>
      <c r="AD105" s="506"/>
      <c r="AE105" s="506"/>
      <c r="AF105" s="506"/>
      <c r="AG105" s="506"/>
      <c r="AH105" s="506"/>
      <c r="AI105" s="506"/>
      <c r="AJ105" s="506"/>
      <c r="AK105" s="506"/>
      <c r="AL105" s="506"/>
      <c r="AM105" s="506"/>
      <c r="AN105" s="506"/>
      <c r="AO105" s="506"/>
    </row>
    <row r="106" spans="21:41" ht="14.1" hidden="1" customHeight="1">
      <c r="U106" s="506"/>
      <c r="V106" s="506"/>
      <c r="W106" s="506"/>
      <c r="X106" s="457"/>
      <c r="Y106" s="506"/>
      <c r="Z106" s="506"/>
      <c r="AA106" s="506"/>
      <c r="AB106" s="506"/>
      <c r="AC106" s="506"/>
      <c r="AD106" s="506"/>
      <c r="AE106" s="506"/>
      <c r="AF106" s="506"/>
      <c r="AG106" s="506"/>
      <c r="AH106" s="506"/>
      <c r="AI106" s="506"/>
      <c r="AJ106" s="506"/>
      <c r="AK106" s="506"/>
      <c r="AL106" s="506"/>
      <c r="AM106" s="506"/>
      <c r="AN106" s="506"/>
      <c r="AO106" s="506"/>
    </row>
    <row r="107" spans="21:41" ht="14.1" hidden="1" customHeight="1">
      <c r="U107" s="506"/>
      <c r="V107" s="506"/>
      <c r="W107" s="506"/>
      <c r="X107" s="457"/>
      <c r="Y107" s="506"/>
      <c r="Z107" s="506"/>
      <c r="AA107" s="506"/>
      <c r="AB107" s="506"/>
      <c r="AC107" s="506"/>
      <c r="AD107" s="506"/>
      <c r="AE107" s="506"/>
      <c r="AF107" s="506"/>
      <c r="AG107" s="506"/>
      <c r="AH107" s="506"/>
      <c r="AI107" s="506"/>
      <c r="AJ107" s="506"/>
      <c r="AK107" s="506"/>
      <c r="AL107" s="506"/>
      <c r="AM107" s="506"/>
      <c r="AN107" s="506"/>
      <c r="AO107" s="506"/>
    </row>
    <row r="108" spans="21:41" ht="14.1" hidden="1" customHeight="1">
      <c r="U108" s="506"/>
      <c r="V108" s="506"/>
      <c r="W108" s="506"/>
      <c r="X108" s="457"/>
      <c r="Y108" s="506"/>
      <c r="Z108" s="506"/>
      <c r="AA108" s="506"/>
      <c r="AB108" s="506"/>
      <c r="AC108" s="506"/>
      <c r="AD108" s="506"/>
      <c r="AE108" s="506"/>
      <c r="AF108" s="506"/>
      <c r="AG108" s="506"/>
      <c r="AH108" s="506"/>
      <c r="AI108" s="506"/>
      <c r="AJ108" s="506"/>
      <c r="AK108" s="506"/>
      <c r="AL108" s="506"/>
      <c r="AM108" s="506"/>
      <c r="AN108" s="506"/>
      <c r="AO108" s="506"/>
    </row>
    <row r="109" spans="21:41" ht="14.1" hidden="1" customHeight="1">
      <c r="U109" s="506"/>
      <c r="V109" s="506"/>
      <c r="W109" s="506"/>
      <c r="X109" s="457"/>
      <c r="Y109" s="506"/>
      <c r="Z109" s="506"/>
      <c r="AA109" s="506"/>
      <c r="AB109" s="506"/>
      <c r="AC109" s="506"/>
      <c r="AD109" s="506"/>
      <c r="AE109" s="506"/>
      <c r="AF109" s="506"/>
      <c r="AG109" s="506"/>
      <c r="AH109" s="506"/>
      <c r="AI109" s="506"/>
      <c r="AJ109" s="506"/>
      <c r="AK109" s="506"/>
      <c r="AL109" s="506"/>
      <c r="AM109" s="506"/>
      <c r="AN109" s="506"/>
      <c r="AO109" s="506"/>
    </row>
    <row r="110" spans="21:41" ht="14.1" hidden="1" customHeight="1">
      <c r="U110" s="506"/>
      <c r="V110" s="506"/>
      <c r="W110" s="506"/>
      <c r="X110" s="457"/>
      <c r="Y110" s="506"/>
      <c r="Z110" s="506"/>
      <c r="AA110" s="506"/>
      <c r="AB110" s="506"/>
      <c r="AC110" s="506"/>
      <c r="AD110" s="506"/>
      <c r="AE110" s="506"/>
      <c r="AF110" s="506"/>
      <c r="AG110" s="506"/>
      <c r="AH110" s="506"/>
      <c r="AI110" s="506"/>
      <c r="AJ110" s="506"/>
      <c r="AK110" s="506"/>
      <c r="AL110" s="506"/>
      <c r="AM110" s="506"/>
      <c r="AN110" s="506"/>
      <c r="AO110" s="506"/>
    </row>
    <row r="111" spans="21:41" ht="14.1" hidden="1" customHeight="1">
      <c r="U111" s="506"/>
      <c r="V111" s="506"/>
      <c r="W111" s="506"/>
      <c r="X111" s="457"/>
      <c r="Y111" s="506"/>
      <c r="Z111" s="506"/>
      <c r="AA111" s="506"/>
      <c r="AB111" s="506"/>
      <c r="AC111" s="506"/>
      <c r="AD111" s="506"/>
      <c r="AE111" s="506"/>
      <c r="AF111" s="506"/>
      <c r="AG111" s="506"/>
      <c r="AH111" s="506"/>
      <c r="AI111" s="506"/>
      <c r="AJ111" s="506"/>
      <c r="AK111" s="506"/>
      <c r="AL111" s="506"/>
      <c r="AM111" s="506"/>
      <c r="AN111" s="506"/>
      <c r="AO111" s="506"/>
    </row>
    <row r="112" spans="21:41" ht="14.1" hidden="1" customHeight="1">
      <c r="U112" s="506"/>
      <c r="V112" s="506"/>
      <c r="W112" s="506"/>
      <c r="X112" s="457"/>
      <c r="Y112" s="506"/>
      <c r="Z112" s="506"/>
      <c r="AA112" s="506"/>
      <c r="AB112" s="506"/>
      <c r="AC112" s="506"/>
      <c r="AD112" s="506"/>
      <c r="AE112" s="506"/>
      <c r="AF112" s="506"/>
      <c r="AG112" s="506"/>
      <c r="AH112" s="506"/>
      <c r="AI112" s="506"/>
      <c r="AJ112" s="506"/>
      <c r="AK112" s="506"/>
      <c r="AL112" s="506"/>
      <c r="AM112" s="506"/>
      <c r="AN112" s="506"/>
      <c r="AO112" s="506"/>
    </row>
    <row r="113" spans="21:41" ht="14.1" hidden="1" customHeight="1">
      <c r="U113" s="506"/>
      <c r="V113" s="506"/>
      <c r="W113" s="506"/>
      <c r="X113" s="457"/>
      <c r="Y113" s="506"/>
      <c r="Z113" s="506"/>
      <c r="AA113" s="506"/>
      <c r="AB113" s="506"/>
      <c r="AC113" s="506"/>
      <c r="AD113" s="506"/>
      <c r="AE113" s="506"/>
      <c r="AF113" s="506"/>
      <c r="AG113" s="506"/>
      <c r="AH113" s="506"/>
      <c r="AI113" s="506"/>
      <c r="AJ113" s="506"/>
      <c r="AK113" s="506"/>
      <c r="AL113" s="506"/>
      <c r="AM113" s="506"/>
      <c r="AN113" s="506"/>
      <c r="AO113" s="506"/>
    </row>
    <row r="114" spans="21:41" ht="14.1" hidden="1" customHeight="1">
      <c r="U114" s="506"/>
      <c r="V114" s="506"/>
      <c r="W114" s="506"/>
      <c r="X114" s="457"/>
      <c r="Y114" s="506"/>
      <c r="Z114" s="506"/>
      <c r="AA114" s="506"/>
      <c r="AB114" s="506"/>
      <c r="AC114" s="506"/>
      <c r="AD114" s="506"/>
      <c r="AE114" s="506"/>
      <c r="AF114" s="506"/>
      <c r="AG114" s="506"/>
      <c r="AH114" s="506"/>
      <c r="AI114" s="506"/>
      <c r="AJ114" s="506"/>
      <c r="AK114" s="506"/>
      <c r="AL114" s="506"/>
      <c r="AM114" s="506"/>
      <c r="AN114" s="506"/>
      <c r="AO114" s="506"/>
    </row>
    <row r="115" spans="21:41" ht="14.1" hidden="1" customHeight="1">
      <c r="U115" s="506"/>
      <c r="V115" s="506"/>
      <c r="W115" s="506"/>
      <c r="X115" s="457"/>
      <c r="Y115" s="506"/>
      <c r="Z115" s="506"/>
      <c r="AA115" s="506"/>
      <c r="AB115" s="506"/>
      <c r="AC115" s="506"/>
      <c r="AD115" s="506"/>
      <c r="AE115" s="506"/>
      <c r="AF115" s="506"/>
      <c r="AG115" s="506"/>
      <c r="AH115" s="506"/>
      <c r="AI115" s="506"/>
      <c r="AJ115" s="506"/>
      <c r="AK115" s="506"/>
      <c r="AL115" s="506"/>
      <c r="AM115" s="506"/>
      <c r="AN115" s="506"/>
      <c r="AO115" s="506"/>
    </row>
    <row r="116" spans="21:41" ht="14.1" hidden="1" customHeight="1">
      <c r="U116" s="506"/>
      <c r="V116" s="506"/>
      <c r="W116" s="506"/>
      <c r="X116" s="457"/>
      <c r="Y116" s="506"/>
      <c r="Z116" s="506"/>
      <c r="AA116" s="506"/>
      <c r="AB116" s="506"/>
      <c r="AC116" s="506"/>
      <c r="AD116" s="506"/>
      <c r="AE116" s="506"/>
      <c r="AF116" s="506"/>
      <c r="AG116" s="506"/>
      <c r="AH116" s="506"/>
      <c r="AI116" s="506"/>
      <c r="AJ116" s="506"/>
      <c r="AK116" s="506"/>
      <c r="AL116" s="506"/>
      <c r="AM116" s="506"/>
      <c r="AN116" s="506"/>
      <c r="AO116" s="506"/>
    </row>
    <row r="117" spans="21:41" ht="14.1" hidden="1" customHeight="1">
      <c r="U117" s="506"/>
      <c r="V117" s="506"/>
      <c r="W117" s="506"/>
      <c r="X117" s="457"/>
      <c r="Y117" s="506"/>
      <c r="Z117" s="506"/>
      <c r="AA117" s="506"/>
      <c r="AB117" s="506"/>
      <c r="AC117" s="506"/>
      <c r="AD117" s="506"/>
      <c r="AE117" s="506"/>
      <c r="AF117" s="506"/>
      <c r="AG117" s="506"/>
      <c r="AH117" s="506"/>
      <c r="AI117" s="506"/>
      <c r="AJ117" s="506"/>
      <c r="AK117" s="506"/>
      <c r="AL117" s="506"/>
      <c r="AM117" s="506"/>
      <c r="AN117" s="506"/>
      <c r="AO117" s="506"/>
    </row>
    <row r="118" spans="21:41" ht="14.1" hidden="1" customHeight="1">
      <c r="U118" s="506"/>
      <c r="V118" s="506"/>
      <c r="W118" s="506"/>
      <c r="X118" s="457"/>
      <c r="Y118" s="506"/>
      <c r="Z118" s="506"/>
      <c r="AA118" s="506"/>
      <c r="AB118" s="506"/>
      <c r="AC118" s="506"/>
      <c r="AD118" s="506"/>
      <c r="AE118" s="506"/>
      <c r="AF118" s="506"/>
      <c r="AG118" s="506"/>
      <c r="AH118" s="506"/>
      <c r="AI118" s="506"/>
      <c r="AJ118" s="506"/>
      <c r="AK118" s="506"/>
      <c r="AL118" s="506"/>
      <c r="AM118" s="506"/>
      <c r="AN118" s="506"/>
      <c r="AO118" s="506"/>
    </row>
    <row r="119" spans="21:41" ht="14.1" hidden="1" customHeight="1">
      <c r="U119" s="506"/>
      <c r="V119" s="506"/>
      <c r="W119" s="506"/>
      <c r="X119" s="457"/>
      <c r="Y119" s="506"/>
      <c r="Z119" s="506"/>
      <c r="AA119" s="506"/>
      <c r="AB119" s="506"/>
      <c r="AC119" s="506"/>
      <c r="AD119" s="506"/>
      <c r="AE119" s="506"/>
      <c r="AF119" s="506"/>
      <c r="AG119" s="506"/>
      <c r="AH119" s="506"/>
      <c r="AI119" s="506"/>
      <c r="AJ119" s="506"/>
      <c r="AK119" s="506"/>
      <c r="AL119" s="506"/>
      <c r="AM119" s="506"/>
      <c r="AN119" s="506"/>
      <c r="AO119" s="506"/>
    </row>
    <row r="120" spans="21:41" ht="14.1" hidden="1" customHeight="1">
      <c r="U120" s="506"/>
      <c r="V120" s="506"/>
      <c r="W120" s="506"/>
      <c r="X120" s="506"/>
      <c r="Y120" s="506"/>
      <c r="Z120" s="506"/>
      <c r="AA120" s="506"/>
      <c r="AB120" s="506"/>
      <c r="AC120" s="506"/>
      <c r="AD120" s="506"/>
      <c r="AE120" s="506"/>
      <c r="AF120" s="506"/>
      <c r="AG120" s="506"/>
      <c r="AH120" s="506"/>
      <c r="AI120" s="506"/>
      <c r="AJ120" s="506"/>
      <c r="AK120" s="506"/>
      <c r="AL120" s="506"/>
      <c r="AM120" s="506"/>
      <c r="AN120" s="506"/>
      <c r="AO120" s="506"/>
    </row>
    <row r="121" spans="21:41" ht="14.1" hidden="1" customHeight="1">
      <c r="U121" s="506"/>
      <c r="V121" s="506"/>
      <c r="W121" s="506"/>
      <c r="X121" s="506"/>
      <c r="Y121" s="506"/>
      <c r="Z121" s="506"/>
      <c r="AA121" s="506"/>
      <c r="AB121" s="506"/>
      <c r="AC121" s="506"/>
      <c r="AD121" s="506"/>
      <c r="AE121" s="506"/>
      <c r="AF121" s="506"/>
      <c r="AG121" s="506"/>
      <c r="AH121" s="506"/>
      <c r="AI121" s="506"/>
      <c r="AJ121" s="506"/>
      <c r="AK121" s="506"/>
      <c r="AL121" s="506"/>
      <c r="AM121" s="506"/>
      <c r="AN121" s="506"/>
      <c r="AO121" s="506"/>
    </row>
    <row r="122" spans="21:41" ht="14.1" hidden="1" customHeight="1">
      <c r="U122" s="506"/>
      <c r="V122" s="506"/>
      <c r="W122" s="506"/>
      <c r="X122" s="506"/>
      <c r="Y122" s="506"/>
      <c r="Z122" s="506"/>
      <c r="AA122" s="506"/>
      <c r="AB122" s="506"/>
      <c r="AC122" s="506"/>
      <c r="AD122" s="506"/>
      <c r="AE122" s="506"/>
      <c r="AF122" s="506"/>
      <c r="AG122" s="506"/>
      <c r="AH122" s="506"/>
      <c r="AI122" s="506"/>
      <c r="AJ122" s="506"/>
      <c r="AK122" s="506"/>
      <c r="AL122" s="506"/>
      <c r="AM122" s="506"/>
      <c r="AN122" s="506"/>
      <c r="AO122" s="506"/>
    </row>
    <row r="123" spans="21:41" ht="14.1" hidden="1" customHeight="1">
      <c r="U123" s="506"/>
      <c r="V123" s="506"/>
      <c r="W123" s="506"/>
      <c r="X123" s="506"/>
      <c r="Y123" s="506"/>
      <c r="Z123" s="506"/>
      <c r="AA123" s="506"/>
      <c r="AB123" s="506"/>
      <c r="AC123" s="506"/>
      <c r="AD123" s="506"/>
      <c r="AE123" s="506"/>
      <c r="AF123" s="506"/>
      <c r="AG123" s="506"/>
      <c r="AH123" s="506"/>
      <c r="AI123" s="506"/>
      <c r="AJ123" s="506"/>
      <c r="AK123" s="506"/>
      <c r="AL123" s="506"/>
      <c r="AM123" s="506"/>
      <c r="AN123" s="506"/>
      <c r="AO123" s="506"/>
    </row>
    <row r="124" spans="21:41" ht="14.1" hidden="1" customHeight="1"/>
    <row r="125" spans="21:41" ht="14.1" hidden="1" customHeight="1"/>
    <row r="126" spans="21:41" ht="14.1" hidden="1" customHeight="1"/>
    <row r="127" spans="21:41" ht="14.1" hidden="1" customHeight="1"/>
    <row r="128" spans="21:41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2" hidden="1" customHeight="1"/>
    <row r="302" ht="12" hidden="1" customHeight="1"/>
    <row r="303" ht="12" hidden="1" customHeight="1"/>
    <row r="304" ht="12" hidden="1" customHeight="1"/>
    <row r="305" ht="12" hidden="1" customHeight="1"/>
    <row r="306" ht="12" hidden="1" customHeight="1"/>
    <row r="307" ht="12" hidden="1" customHeight="1"/>
    <row r="308" ht="12" hidden="1" customHeight="1"/>
  </sheetData>
  <sheetProtection sheet="1" objects="1" scenarios="1"/>
  <mergeCells count="18">
    <mergeCell ref="E56:F56"/>
    <mergeCell ref="E57:F57"/>
    <mergeCell ref="E58:F58"/>
    <mergeCell ref="E43:F43"/>
    <mergeCell ref="E52:F52"/>
    <mergeCell ref="E53:F53"/>
    <mergeCell ref="E54:F54"/>
    <mergeCell ref="E55:F55"/>
    <mergeCell ref="E47:F47"/>
    <mergeCell ref="E48:F48"/>
    <mergeCell ref="E33:F33"/>
    <mergeCell ref="E34:F34"/>
    <mergeCell ref="E35:F35"/>
    <mergeCell ref="E49:F49"/>
    <mergeCell ref="E50:F50"/>
    <mergeCell ref="E38:F38"/>
    <mergeCell ref="E40:F40"/>
    <mergeCell ref="E45:F45"/>
  </mergeCells>
  <phoneticPr fontId="6" type="noConversion"/>
  <conditionalFormatting sqref="F6:F20 I31:I59 P2:Q57 K31:L59 M2:M59 J6:J59 G6:G57 H6:I19 D2:D57 O31:O57 N5:O23 E31:F38 E40:F58 BD63 N2:O3 A62:Q63 E2:E20 K2:L3 A3:A57 B8:B61 E22:F23 F2:J5 C2:C61 B2:B3 B5">
    <cfRule type="expression" dxfId="449" priority="1" stopIfTrue="1">
      <formula>IF($S$6&gt;0,TRUE,FALSE)</formula>
    </cfRule>
  </conditionalFormatting>
  <conditionalFormatting sqref="N4:O4 N24:O27">
    <cfRule type="expression" dxfId="448" priority="2" stopIfTrue="1">
      <formula>IF($S$6&gt;0,TRUE,FALSE)</formula>
    </cfRule>
    <cfRule type="expression" dxfId="447" priority="3" stopIfTrue="1">
      <formula>IF($U$11&lt;&gt;"AUTO",TRUE,FALSE)</formula>
    </cfRule>
  </conditionalFormatting>
  <conditionalFormatting sqref="H24:I24">
    <cfRule type="expression" dxfId="446" priority="4" stopIfTrue="1">
      <formula>IF($S$6&gt;0,TRUE,FALSE)</formula>
    </cfRule>
    <cfRule type="expression" dxfId="445" priority="5" stopIfTrue="1">
      <formula>IF($H24=0,TRUE,FALSE)</formula>
    </cfRule>
  </conditionalFormatting>
  <conditionalFormatting sqref="P58:Q62 A58:A62">
    <cfRule type="expression" dxfId="444" priority="6" stopIfTrue="1">
      <formula>IF($S$6&gt;0,TRUE,FALSE)</formula>
    </cfRule>
  </conditionalFormatting>
  <conditionalFormatting sqref="H25:I25">
    <cfRule type="expression" dxfId="443" priority="7" stopIfTrue="1">
      <formula>IF($S$6&gt;0,TRUE,IF($U$7=1,TRUE,FALSE))</formula>
    </cfRule>
  </conditionalFormatting>
  <conditionalFormatting sqref="E24:F24 E26:F29">
    <cfRule type="expression" dxfId="442" priority="8" stopIfTrue="1">
      <formula>IF($S$6&gt;0,TRUE,FALSE)</formula>
    </cfRule>
  </conditionalFormatting>
  <conditionalFormatting sqref="H21">
    <cfRule type="expression" dxfId="441" priority="9" stopIfTrue="1">
      <formula>IF($S$6&gt;0,TRUE,FALSE)</formula>
    </cfRule>
    <cfRule type="expression" dxfId="440" priority="10" stopIfTrue="1">
      <formula>IF(U7=1,TRUE,FALSE)</formula>
    </cfRule>
  </conditionalFormatting>
  <conditionalFormatting sqref="I21">
    <cfRule type="expression" dxfId="439" priority="11" stopIfTrue="1">
      <formula>IF($S$6&gt;0,TRUE,FALSE)</formula>
    </cfRule>
    <cfRule type="expression" dxfId="438" priority="12" stopIfTrue="1">
      <formula>IF(U7=1,TRUE,FALSE)</formula>
    </cfRule>
  </conditionalFormatting>
  <conditionalFormatting sqref="H20">
    <cfRule type="expression" dxfId="437" priority="13" stopIfTrue="1">
      <formula>IF($S$6&gt;0,TRUE,FALSE)</formula>
    </cfRule>
    <cfRule type="expression" dxfId="436" priority="14" stopIfTrue="1">
      <formula>IF(AND(U7=1,U16="3D"),TRUE,FALSE)</formula>
    </cfRule>
  </conditionalFormatting>
  <conditionalFormatting sqref="I20">
    <cfRule type="expression" dxfId="435" priority="15" stopIfTrue="1">
      <formula>IF($S$6&gt;0,TRUE,FALSE)</formula>
    </cfRule>
    <cfRule type="expression" dxfId="434" priority="16" stopIfTrue="1">
      <formula>IF(AND(U7=1,U16="3D"),TRUE,FALSE)</formula>
    </cfRule>
  </conditionalFormatting>
  <conditionalFormatting sqref="H22">
    <cfRule type="expression" dxfId="433" priority="17" stopIfTrue="1">
      <formula>IF($S$6&gt;0,TRUE,FALSE)</formula>
    </cfRule>
    <cfRule type="expression" dxfId="432" priority="18" stopIfTrue="1">
      <formula>IF(AND(U7=1,U16="3D"),TRUE,FALSE)</formula>
    </cfRule>
  </conditionalFormatting>
  <conditionalFormatting sqref="H23">
    <cfRule type="expression" dxfId="431" priority="19" stopIfTrue="1">
      <formula>IF($S$6&gt;0,TRUE,FALSE)</formula>
    </cfRule>
    <cfRule type="expression" dxfId="430" priority="20" stopIfTrue="1">
      <formula>IF(AND(U7=1,U16="3D"),TRUE,FALSE)</formula>
    </cfRule>
  </conditionalFormatting>
  <conditionalFormatting sqref="I22">
    <cfRule type="expression" dxfId="429" priority="21" stopIfTrue="1">
      <formula>IF($S$6&gt;0,TRUE,FALSE)</formula>
    </cfRule>
    <cfRule type="expression" dxfId="428" priority="22" stopIfTrue="1">
      <formula>IF(AND(U7=1,U16="3D"),TRUE,FALSE)</formula>
    </cfRule>
  </conditionalFormatting>
  <conditionalFormatting sqref="I23">
    <cfRule type="expression" dxfId="427" priority="23" stopIfTrue="1">
      <formula>IF($S$6&gt;0,TRUE,FALSE)</formula>
    </cfRule>
    <cfRule type="expression" dxfId="426" priority="24" stopIfTrue="1">
      <formula>IF(AND(U7=1,U16="3D"),TRUE,FALSE)</formula>
    </cfRule>
  </conditionalFormatting>
  <conditionalFormatting sqref="H26:H62">
    <cfRule type="expression" dxfId="425" priority="25" stopIfTrue="1">
      <formula>IF($S$6&gt;0,TRUE,FALSE)</formula>
    </cfRule>
    <cfRule type="expression" dxfId="424" priority="26" stopIfTrue="1">
      <formula>IF(AND(U$7=1,U$16="3D"),TRUE,FALSE)</formula>
    </cfRule>
  </conditionalFormatting>
  <conditionalFormatting sqref="I26:I30">
    <cfRule type="expression" dxfId="423" priority="27" stopIfTrue="1">
      <formula>IF($S$6&gt;0,TRUE,FALSE)</formula>
    </cfRule>
    <cfRule type="expression" dxfId="422" priority="28" stopIfTrue="1">
      <formula>IF(AND(U$7=1,U$16="3D"),TRUE,FALSE)</formula>
    </cfRule>
  </conditionalFormatting>
  <conditionalFormatting sqref="E21">
    <cfRule type="expression" dxfId="421" priority="29" stopIfTrue="1">
      <formula>IF($S$6&gt;0,TRUE,FALSE)</formula>
    </cfRule>
    <cfRule type="expression" dxfId="420" priority="30" stopIfTrue="1">
      <formula>IF(U7=1,TRUE,FALSE)</formula>
    </cfRule>
  </conditionalFormatting>
  <conditionalFormatting sqref="F21">
    <cfRule type="expression" dxfId="419" priority="31" stopIfTrue="1">
      <formula>IF($S$6&gt;0,TRUE,FALSE)</formula>
    </cfRule>
    <cfRule type="expression" dxfId="418" priority="32" stopIfTrue="1">
      <formula>IF(U7=1,TRUE,FALSE)</formula>
    </cfRule>
  </conditionalFormatting>
  <conditionalFormatting sqref="E25">
    <cfRule type="expression" dxfId="417" priority="33" stopIfTrue="1">
      <formula>IF($S$6&gt;0,TRUE,FALSE)</formula>
    </cfRule>
    <cfRule type="expression" dxfId="416" priority="34" stopIfTrue="1">
      <formula>IF(U7=1,TRUE,FALSE)</formula>
    </cfRule>
  </conditionalFormatting>
  <conditionalFormatting sqref="F25">
    <cfRule type="expression" dxfId="415" priority="35" stopIfTrue="1">
      <formula>IF($S$6&gt;0,TRUE,FALSE)</formula>
    </cfRule>
    <cfRule type="expression" dxfId="414" priority="36" stopIfTrue="1">
      <formula>IF(U7=1,TRUE,FALSE)</formula>
    </cfRule>
  </conditionalFormatting>
  <conditionalFormatting sqref="N28:O29">
    <cfRule type="expression" dxfId="413" priority="37" stopIfTrue="1">
      <formula>IF($S$6&gt;0,TRUE,FALSE)</formula>
    </cfRule>
    <cfRule type="expression" dxfId="412" priority="38" stopIfTrue="1">
      <formula>IF($U11="NONE",TRUE,FALSE)</formula>
    </cfRule>
  </conditionalFormatting>
  <conditionalFormatting sqref="N30:O30 N31:N59">
    <cfRule type="expression" dxfId="411" priority="39" stopIfTrue="1">
      <formula>IF($S$6&gt;0,TRUE,FALSE)</formula>
    </cfRule>
    <cfRule type="expression" dxfId="410" priority="40" stopIfTrue="1">
      <formula>IF($U11="NONE",TRUE,FALSE)</formula>
    </cfRule>
  </conditionalFormatting>
  <conditionalFormatting sqref="B6">
    <cfRule type="expression" dxfId="409" priority="41" stopIfTrue="1">
      <formula>IF($S$6&gt;0,TRUE,FALSE)</formula>
    </cfRule>
  </conditionalFormatting>
  <conditionalFormatting sqref="B7">
    <cfRule type="expression" dxfId="408" priority="42" stopIfTrue="1">
      <formula>IF($S$5&gt;0,TRUE,FALSE)</formula>
    </cfRule>
    <cfRule type="expression" dxfId="407" priority="43" stopIfTrue="1">
      <formula>IF($S$6&gt;0,TRUE,FALSE)</formula>
    </cfRule>
  </conditionalFormatting>
  <conditionalFormatting sqref="L29">
    <cfRule type="expression" dxfId="406" priority="44" stopIfTrue="1">
      <formula>IF($S$6&gt;0,TRUE,IF(PHASE=1,TRUE,FALSE))</formula>
    </cfRule>
    <cfRule type="expression" dxfId="405" priority="45" stopIfTrue="1">
      <formula>IF(AND(U8=1,OR(U17=1,U17="3Y")),TRUE,FALSE)</formula>
    </cfRule>
  </conditionalFormatting>
  <conditionalFormatting sqref="K30">
    <cfRule type="expression" dxfId="404" priority="46" stopIfTrue="1">
      <formula>IF($S$6&gt;0,TRUE,IF(PHASE=1,TRUE,FALSE))</formula>
    </cfRule>
    <cfRule type="expression" dxfId="403" priority="47" stopIfTrue="1">
      <formula>IF(AND(U7=1,OR(U16=1,U16="3Y")),TRUE,FALSE)</formula>
    </cfRule>
  </conditionalFormatting>
  <conditionalFormatting sqref="L30">
    <cfRule type="expression" dxfId="402" priority="48" stopIfTrue="1">
      <formula>IF($S$6&gt;0,TRUE,IF(PHASE=1,TRUE,FALSE))</formula>
    </cfRule>
    <cfRule type="expression" dxfId="401" priority="49" stopIfTrue="1">
      <formula>IF(AND(U7=1,OR(U16=1,U16="3Y")),TRUE,FALSE)</formula>
    </cfRule>
  </conditionalFormatting>
  <conditionalFormatting sqref="K29">
    <cfRule type="expression" dxfId="400" priority="50" stopIfTrue="1">
      <formula>IF($S$6&gt;0,TRUE,IF(PHASE=1,TRUE,FALSE))</formula>
    </cfRule>
    <cfRule type="expression" dxfId="399" priority="51" stopIfTrue="1">
      <formula>IF(AND(U8=1,OR(U17=1,U17="3Y")),TRUE,FALSE)</formula>
    </cfRule>
  </conditionalFormatting>
  <conditionalFormatting sqref="N60">
    <cfRule type="expression" dxfId="398" priority="52" stopIfTrue="1">
      <formula>IF($S$6&gt;0,TRUE,FALSE)</formula>
    </cfRule>
    <cfRule type="expression" dxfId="397" priority="53" stopIfTrue="1">
      <formula>IF($U40="NONE",TRUE,FALSE)</formula>
    </cfRule>
  </conditionalFormatting>
  <conditionalFormatting sqref="A2">
    <cfRule type="expression" dxfId="396" priority="54" stopIfTrue="1">
      <formula>IF($S$6&gt;0,TRUE,FALSE)</formula>
    </cfRule>
  </conditionalFormatting>
  <conditionalFormatting sqref="K4:L20 K22:L27">
    <cfRule type="expression" dxfId="395" priority="55" stopIfTrue="1">
      <formula>IF($S$6&gt;0,TRUE,FALSE)</formula>
    </cfRule>
  </conditionalFormatting>
  <conditionalFormatting sqref="K21:L21 K28:L28">
    <cfRule type="expression" dxfId="394" priority="56" stopIfTrue="1">
      <formula>IF($S$6&gt;0,TRUE,FALSE)</formula>
    </cfRule>
    <cfRule type="expression" dxfId="393" priority="57" stopIfTrue="1">
      <formula>IF($U$7=1,TRUE,FALSE)</formula>
    </cfRule>
  </conditionalFormatting>
  <conditionalFormatting sqref="B4">
    <cfRule type="expression" dxfId="392" priority="58" stopIfTrue="1">
      <formula>IF($S$6&gt;0,TRUE,FALSE)</formula>
    </cfRule>
  </conditionalFormatting>
  <pageMargins left="0.5" right="0" top="0.5" bottom="0" header="0" footer="0"/>
  <pageSetup scale="8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Input</vt:lpstr>
      <vt:lpstr>Conduit</vt:lpstr>
      <vt:lpstr>S-Sec Cable</vt:lpstr>
      <vt:lpstr>VD</vt:lpstr>
      <vt:lpstr>AFC</vt:lpstr>
      <vt:lpstr>Short</vt:lpstr>
      <vt:lpstr>Calcs</vt:lpstr>
      <vt:lpstr>Tables</vt:lpstr>
      <vt:lpstr>Load Calcs</vt:lpstr>
      <vt:lpstr>VD Calcs</vt:lpstr>
      <vt:lpstr>AFC Calcs</vt:lpstr>
      <vt:lpstr>Com Loads</vt:lpstr>
      <vt:lpstr>Import</vt:lpstr>
      <vt:lpstr>Update Check</vt:lpstr>
      <vt:lpstr>HInport</vt:lpstr>
      <vt:lpstr>CInport</vt:lpstr>
      <vt:lpstr>1-Line</vt:lpstr>
      <vt:lpstr>COMM</vt:lpstr>
      <vt:lpstr>CP_PANELS</vt:lpstr>
      <vt:lpstr>DWELL</vt:lpstr>
      <vt:lpstr>ERROR</vt:lpstr>
      <vt:lpstr>MAX</vt:lpstr>
      <vt:lpstr>Calcs!Print_Area</vt:lpstr>
      <vt:lpstr>Short!Print_Area</vt:lpstr>
      <vt:lpstr>'VD Calcs'!Print_Area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GPDurand</dc:creator>
  <cp:lastModifiedBy>DURAND</cp:lastModifiedBy>
  <cp:lastPrinted>2008-01-17T18:46:21Z</cp:lastPrinted>
  <dcterms:created xsi:type="dcterms:W3CDTF">2006-02-23T18:27:07Z</dcterms:created>
  <dcterms:modified xsi:type="dcterms:W3CDTF">2025-11-05T16:51:40Z</dcterms:modified>
</cp:coreProperties>
</file>