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240" yWindow="375" windowWidth="14955" windowHeight="8445" tabRatio="808"/>
  </bookViews>
  <sheets>
    <sheet name="Input" sheetId="1" r:id="rId1"/>
    <sheet name="Sec Cable" sheetId="26" state="hidden" r:id="rId2"/>
    <sheet name="Schedule" sheetId="2" r:id="rId3"/>
    <sheet name="Calcs" sheetId="14" r:id="rId4"/>
    <sheet name="Short" sheetId="11" state="hidden" r:id="rId5"/>
    <sheet name="Output-Input" sheetId="13" state="hidden" r:id="rId6"/>
    <sheet name="Directory" sheetId="5" r:id="rId7"/>
    <sheet name="S-Input" sheetId="15" state="hidden" r:id="rId8"/>
    <sheet name="S-Sec Cable" sheetId="27" state="hidden" r:id="rId9"/>
    <sheet name="S-Schedule" sheetId="16" state="hidden" r:id="rId10"/>
    <sheet name="S-Calcs" sheetId="17" state="hidden" r:id="rId11"/>
    <sheet name="Short No-Xmfr" sheetId="18" state="hidden" r:id="rId12"/>
    <sheet name="Short Primary" sheetId="24" state="hidden" r:id="rId13"/>
    <sheet name="Short With Xmfr" sheetId="23" state="hidden" r:id="rId14"/>
    <sheet name="S-Output-Input" sheetId="19" state="hidden" r:id="rId15"/>
    <sheet name="S-Directory" sheetId="20" state="hidden" r:id="rId16"/>
    <sheet name="CopyPaste" sheetId="8" r:id="rId17"/>
    <sheet name="CAD" sheetId="25" r:id="rId18"/>
  </sheets>
  <definedNames>
    <definedName name="ALL">#REF!</definedName>
    <definedName name="DIRECTORY_TALL">#REF!</definedName>
    <definedName name="DIRECTORY_WIDE">#REF!</definedName>
    <definedName name="ENTER_INFO">#REF!</definedName>
    <definedName name="ERROR_CHECK">#REF!</definedName>
    <definedName name="LOAD_CALCS">#REF!</definedName>
    <definedName name="PANEL_TALL">#REF!</definedName>
    <definedName name="PANEL_WIDE">#REF!</definedName>
    <definedName name="_xlnm.Print_Area" localSheetId="3">Calcs!$B$2:$Q$62</definedName>
    <definedName name="_xlnm.Print_Area" localSheetId="6">Directory!$A$1:$F$25</definedName>
    <definedName name="_xlnm.Print_Area" localSheetId="0">Input!$B$3:$P$48</definedName>
    <definedName name="_xlnm.Print_Area" localSheetId="10">'S-Calcs'!$B$2:$Q$62</definedName>
    <definedName name="_xlnm.Print_Area" localSheetId="2">Schedule!$A$1:$P$63</definedName>
    <definedName name="_xlnm.Print_Area" localSheetId="15">'S-Directory'!$A$1:$F$25</definedName>
    <definedName name="_xlnm.Print_Area" localSheetId="4">Short!$C$19:$P$35</definedName>
    <definedName name="_xlnm.Print_Area" localSheetId="11">'Short No-Xmfr'!$C$19:$P$35</definedName>
    <definedName name="_xlnm.Print_Area" localSheetId="12">'Short Primary'!$C$19:$P$35</definedName>
    <definedName name="_xlnm.Print_Area" localSheetId="7">'S-Input'!$B$3:$P$49</definedName>
    <definedName name="_xlnm.Print_Area" localSheetId="9">'S-Schedule'!$A$1:$P$64</definedName>
  </definedNames>
  <calcPr calcId="124519"/>
</workbook>
</file>

<file path=xl/calcChain.xml><?xml version="1.0" encoding="utf-8"?>
<calcChain xmlns="http://schemas.openxmlformats.org/spreadsheetml/2006/main">
  <c r="L8" i="25"/>
  <c r="L11"/>
  <c r="L13"/>
  <c r="L14"/>
  <c r="L15"/>
  <c r="L16"/>
  <c r="L17"/>
  <c r="L18"/>
  <c r="BL2" i="14"/>
  <c r="V3"/>
  <c r="V4"/>
  <c r="S3" i="2" s="1"/>
  <c r="BO4" i="14"/>
  <c r="V7"/>
  <c r="V8"/>
  <c r="AS8"/>
  <c r="AV8" s="1"/>
  <c r="V9"/>
  <c r="AS9"/>
  <c r="V10"/>
  <c r="BI39" s="1"/>
  <c r="V11"/>
  <c r="P4" s="1"/>
  <c r="V12"/>
  <c r="V13"/>
  <c r="V16"/>
  <c r="M14" s="1"/>
  <c r="P27"/>
  <c r="U27"/>
  <c r="CC31" i="1" s="1"/>
  <c r="AF27" i="14"/>
  <c r="AG29" s="1"/>
  <c r="AG31" s="1"/>
  <c r="BJ27"/>
  <c r="BK27"/>
  <c r="O28"/>
  <c r="C31"/>
  <c r="E32"/>
  <c r="E34"/>
  <c r="C37"/>
  <c r="C41"/>
  <c r="BH52"/>
  <c r="BI45" s="1"/>
  <c r="BH55"/>
  <c r="T56"/>
  <c r="T57"/>
  <c r="U57"/>
  <c r="U58"/>
  <c r="U59"/>
  <c r="U60"/>
  <c r="E2" i="5"/>
  <c r="I3"/>
  <c r="K5" s="1"/>
  <c r="D5"/>
  <c r="E5"/>
  <c r="I5"/>
  <c r="D6"/>
  <c r="E6"/>
  <c r="I6"/>
  <c r="D7"/>
  <c r="E7"/>
  <c r="I7"/>
  <c r="C8"/>
  <c r="E8"/>
  <c r="C9"/>
  <c r="D9"/>
  <c r="E9"/>
  <c r="C10"/>
  <c r="E10"/>
  <c r="C11"/>
  <c r="E11"/>
  <c r="C12"/>
  <c r="D12"/>
  <c r="E12"/>
  <c r="C13"/>
  <c r="E13"/>
  <c r="C14"/>
  <c r="E14"/>
  <c r="C15"/>
  <c r="E15"/>
  <c r="C16"/>
  <c r="E16"/>
  <c r="C17"/>
  <c r="E17"/>
  <c r="C18"/>
  <c r="E18"/>
  <c r="C19"/>
  <c r="E19"/>
  <c r="C20"/>
  <c r="D20"/>
  <c r="E20"/>
  <c r="C21"/>
  <c r="E21"/>
  <c r="C22"/>
  <c r="E22"/>
  <c r="C23"/>
  <c r="E23"/>
  <c r="C24"/>
  <c r="E24"/>
  <c r="C25"/>
  <c r="D25"/>
  <c r="E25"/>
  <c r="B26"/>
  <c r="B27" s="1"/>
  <c r="C26"/>
  <c r="E26"/>
  <c r="F26"/>
  <c r="F27" s="1"/>
  <c r="C27"/>
  <c r="E27"/>
  <c r="B28"/>
  <c r="B29" s="1"/>
  <c r="C28"/>
  <c r="E28"/>
  <c r="F28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C29"/>
  <c r="E29"/>
  <c r="B30"/>
  <c r="B31" s="1"/>
  <c r="C30"/>
  <c r="E30"/>
  <c r="C31"/>
  <c r="E31"/>
  <c r="B32"/>
  <c r="B33" s="1"/>
  <c r="C32"/>
  <c r="E32"/>
  <c r="C33"/>
  <c r="E33"/>
  <c r="B34"/>
  <c r="B35" s="1"/>
  <c r="C34"/>
  <c r="E34"/>
  <c r="C35"/>
  <c r="D35"/>
  <c r="E35"/>
  <c r="B36"/>
  <c r="B37" s="1"/>
  <c r="C36"/>
  <c r="E36"/>
  <c r="C37"/>
  <c r="E37"/>
  <c r="B38"/>
  <c r="B39" s="1"/>
  <c r="C38"/>
  <c r="E38"/>
  <c r="C39"/>
  <c r="E39"/>
  <c r="B40"/>
  <c r="B41" s="1"/>
  <c r="C40"/>
  <c r="E40"/>
  <c r="C41"/>
  <c r="D41"/>
  <c r="E41"/>
  <c r="B42"/>
  <c r="B43" s="1"/>
  <c r="C42"/>
  <c r="E42"/>
  <c r="C43"/>
  <c r="D43"/>
  <c r="E43"/>
  <c r="B44"/>
  <c r="B45" s="1"/>
  <c r="C44"/>
  <c r="E44"/>
  <c r="C45"/>
  <c r="E45"/>
  <c r="B46"/>
  <c r="C46"/>
  <c r="D46"/>
  <c r="E46"/>
  <c r="W2" i="1"/>
  <c r="E3"/>
  <c r="S3"/>
  <c r="T3"/>
  <c r="T6" s="1"/>
  <c r="EC3"/>
  <c r="EC4" s="1"/>
  <c r="EC12" s="1"/>
  <c r="EG6" s="1"/>
  <c r="E4"/>
  <c r="W4"/>
  <c r="C2" i="14" s="1"/>
  <c r="T5" i="1"/>
  <c r="EC5"/>
  <c r="D6"/>
  <c r="CY6"/>
  <c r="DT6"/>
  <c r="EC6"/>
  <c r="D7"/>
  <c r="CC7"/>
  <c r="CY7"/>
  <c r="EC7"/>
  <c r="J8"/>
  <c r="S8"/>
  <c r="CD8"/>
  <c r="CN8"/>
  <c r="EC8"/>
  <c r="J9"/>
  <c r="CU9"/>
  <c r="CV9"/>
  <c r="CW9"/>
  <c r="EC9"/>
  <c r="G10"/>
  <c r="CY10"/>
  <c r="CZ10"/>
  <c r="CZ2" s="1"/>
  <c r="EC10"/>
  <c r="N11"/>
  <c r="CC11"/>
  <c r="F10" s="1"/>
  <c r="EC11"/>
  <c r="B12"/>
  <c r="F12"/>
  <c r="G12"/>
  <c r="J12"/>
  <c r="CC12"/>
  <c r="D11" s="1"/>
  <c r="CL12"/>
  <c r="B13"/>
  <c r="D13"/>
  <c r="F13"/>
  <c r="T13"/>
  <c r="CC13"/>
  <c r="D12" s="1"/>
  <c r="CL13"/>
  <c r="W14"/>
  <c r="BY14"/>
  <c r="CC14"/>
  <c r="G13" s="1"/>
  <c r="DR14"/>
  <c r="G15"/>
  <c r="N15"/>
  <c r="CC15"/>
  <c r="CD15"/>
  <c r="DR15"/>
  <c r="G16"/>
  <c r="CC16"/>
  <c r="CD16"/>
  <c r="DR16"/>
  <c r="B17"/>
  <c r="CC17"/>
  <c r="F16" s="1"/>
  <c r="DF17"/>
  <c r="DG17"/>
  <c r="DH17"/>
  <c r="DR17"/>
  <c r="CE18"/>
  <c r="CF18"/>
  <c r="DF18"/>
  <c r="DG18"/>
  <c r="DB18" s="1"/>
  <c r="DH18"/>
  <c r="DR18"/>
  <c r="DB19"/>
  <c r="DF19"/>
  <c r="DG19"/>
  <c r="DH19"/>
  <c r="DR19"/>
  <c r="D20"/>
  <c r="F20"/>
  <c r="CD20"/>
  <c r="DC20"/>
  <c r="DD20"/>
  <c r="DE20"/>
  <c r="DF20"/>
  <c r="DG20"/>
  <c r="DB20" s="1"/>
  <c r="DH20"/>
  <c r="DR20"/>
  <c r="G21"/>
  <c r="CC21"/>
  <c r="G20" s="1"/>
  <c r="DB21"/>
  <c r="DF21"/>
  <c r="DG21"/>
  <c r="DH21"/>
  <c r="DR21"/>
  <c r="CC22"/>
  <c r="F21" s="1"/>
  <c r="CD22"/>
  <c r="DF22"/>
  <c r="DG22"/>
  <c r="DB22" s="1"/>
  <c r="DH22"/>
  <c r="DR22"/>
  <c r="DB23"/>
  <c r="DF23"/>
  <c r="DG23"/>
  <c r="DH23"/>
  <c r="DR23"/>
  <c r="B24"/>
  <c r="CC24"/>
  <c r="DB24"/>
  <c r="DF24"/>
  <c r="DG24"/>
  <c r="DH24"/>
  <c r="DR24"/>
  <c r="DF25"/>
  <c r="DG25"/>
  <c r="DB25" s="1"/>
  <c r="DH25"/>
  <c r="DR25"/>
  <c r="DF26"/>
  <c r="DG26"/>
  <c r="DB26" s="1"/>
  <c r="DH26"/>
  <c r="DR26"/>
  <c r="E27"/>
  <c r="F27"/>
  <c r="L27"/>
  <c r="M27"/>
  <c r="DF27"/>
  <c r="DG27"/>
  <c r="DB27" s="1"/>
  <c r="DB33" s="1"/>
  <c r="DH27"/>
  <c r="DR27"/>
  <c r="I28"/>
  <c r="D4" i="5" s="1"/>
  <c r="W28" i="1"/>
  <c r="Z28"/>
  <c r="AA28"/>
  <c r="AF28"/>
  <c r="AG28"/>
  <c r="AL28"/>
  <c r="AM28"/>
  <c r="AR28"/>
  <c r="AS28"/>
  <c r="AT28"/>
  <c r="AU28"/>
  <c r="BA28"/>
  <c r="BB28"/>
  <c r="BG28"/>
  <c r="BH28"/>
  <c r="BK28"/>
  <c r="BL28"/>
  <c r="BO28"/>
  <c r="BP28"/>
  <c r="DB28"/>
  <c r="DF28"/>
  <c r="DG28"/>
  <c r="DH28"/>
  <c r="DR28"/>
  <c r="I29"/>
  <c r="X29"/>
  <c r="AB29"/>
  <c r="AC29"/>
  <c r="AH29"/>
  <c r="AI29"/>
  <c r="AN29"/>
  <c r="AO29"/>
  <c r="AR29"/>
  <c r="AS29"/>
  <c r="AV29"/>
  <c r="AW29"/>
  <c r="BC29"/>
  <c r="BD29"/>
  <c r="BM29"/>
  <c r="BN29"/>
  <c r="BQ29"/>
  <c r="BR29"/>
  <c r="CL29"/>
  <c r="DB29"/>
  <c r="DF29"/>
  <c r="DG29"/>
  <c r="DH29"/>
  <c r="DR29"/>
  <c r="U30"/>
  <c r="I30" s="1"/>
  <c r="W30"/>
  <c r="Y30"/>
  <c r="Z30"/>
  <c r="AA30"/>
  <c r="AD30"/>
  <c r="AE30"/>
  <c r="AF30"/>
  <c r="AG30"/>
  <c r="AJ30"/>
  <c r="AK30"/>
  <c r="AL30"/>
  <c r="AM30"/>
  <c r="AP30"/>
  <c r="AQ30"/>
  <c r="AR30"/>
  <c r="AS30"/>
  <c r="AT30"/>
  <c r="AU30"/>
  <c r="AX30"/>
  <c r="AY30"/>
  <c r="BA30"/>
  <c r="BB30"/>
  <c r="BE30"/>
  <c r="BF30"/>
  <c r="BI30"/>
  <c r="BJ30"/>
  <c r="BK30"/>
  <c r="BL30"/>
  <c r="BS30"/>
  <c r="BT30"/>
  <c r="CC30"/>
  <c r="CD30"/>
  <c r="CL30"/>
  <c r="DF30"/>
  <c r="DG30"/>
  <c r="DB30" s="1"/>
  <c r="DB36" s="1"/>
  <c r="DH30"/>
  <c r="DR30"/>
  <c r="I31"/>
  <c r="T31"/>
  <c r="Z31" s="1"/>
  <c r="U31"/>
  <c r="X31"/>
  <c r="AB31"/>
  <c r="AC31"/>
  <c r="AF31"/>
  <c r="AH31"/>
  <c r="AI31"/>
  <c r="AL31"/>
  <c r="AN31"/>
  <c r="AO31"/>
  <c r="AR31"/>
  <c r="AT31"/>
  <c r="AU31"/>
  <c r="BA31"/>
  <c r="BB31"/>
  <c r="BC31"/>
  <c r="BH31"/>
  <c r="BM31"/>
  <c r="BO31"/>
  <c r="DF31"/>
  <c r="DG31"/>
  <c r="DB31" s="1"/>
  <c r="DB49" s="1"/>
  <c r="DH31"/>
  <c r="DR31"/>
  <c r="I32"/>
  <c r="D8" i="5" s="1"/>
  <c r="T32" i="1"/>
  <c r="U32"/>
  <c r="X32"/>
  <c r="Z32"/>
  <c r="AA32"/>
  <c r="AC32"/>
  <c r="AF32"/>
  <c r="AG32"/>
  <c r="AI32"/>
  <c r="AL32"/>
  <c r="AM32"/>
  <c r="AO32"/>
  <c r="AR32"/>
  <c r="AV32"/>
  <c r="BA32"/>
  <c r="BK32"/>
  <c r="BL32"/>
  <c r="CC32"/>
  <c r="F3" s="1"/>
  <c r="DB32"/>
  <c r="DR32"/>
  <c r="I33"/>
  <c r="T33"/>
  <c r="U33"/>
  <c r="Y33"/>
  <c r="AB33"/>
  <c r="AC33"/>
  <c r="AE33"/>
  <c r="AH33"/>
  <c r="AI33"/>
  <c r="AK33"/>
  <c r="AN33"/>
  <c r="AO33"/>
  <c r="AQ33"/>
  <c r="AR33"/>
  <c r="AS33"/>
  <c r="AW33"/>
  <c r="AX33"/>
  <c r="AY33"/>
  <c r="BD33"/>
  <c r="BE33"/>
  <c r="BF33"/>
  <c r="BJ33"/>
  <c r="BM33"/>
  <c r="BN33"/>
  <c r="BT33"/>
  <c r="CC33"/>
  <c r="F4" s="1"/>
  <c r="DR33"/>
  <c r="T34"/>
  <c r="AA34" s="1"/>
  <c r="U34"/>
  <c r="I34" s="1"/>
  <c r="D10" i="5" s="1"/>
  <c r="Z34" i="1"/>
  <c r="AF34"/>
  <c r="AL34"/>
  <c r="AM34"/>
  <c r="AT34"/>
  <c r="AU34"/>
  <c r="BA34"/>
  <c r="BH34"/>
  <c r="BK34"/>
  <c r="BO34"/>
  <c r="CC34"/>
  <c r="DB34"/>
  <c r="DR34"/>
  <c r="T35"/>
  <c r="AN35" s="1"/>
  <c r="U35"/>
  <c r="I35" s="1"/>
  <c r="D11" i="5" s="1"/>
  <c r="AH35" i="1"/>
  <c r="AV35"/>
  <c r="AW35"/>
  <c r="BN35"/>
  <c r="T36"/>
  <c r="AK36" s="1"/>
  <c r="U36"/>
  <c r="I36" s="1"/>
  <c r="Z36"/>
  <c r="AA36"/>
  <c r="AE36"/>
  <c r="AF36"/>
  <c r="AG36"/>
  <c r="AL36"/>
  <c r="AM36"/>
  <c r="AR36"/>
  <c r="AY36"/>
  <c r="BB36"/>
  <c r="BJ36"/>
  <c r="I37"/>
  <c r="D13" i="5" s="1"/>
  <c r="T37" i="1"/>
  <c r="U37"/>
  <c r="W37"/>
  <c r="X37"/>
  <c r="Z37"/>
  <c r="AB37"/>
  <c r="AC37"/>
  <c r="AF37"/>
  <c r="AH37"/>
  <c r="AI37"/>
  <c r="AL37"/>
  <c r="AN37"/>
  <c r="AO37"/>
  <c r="AR37"/>
  <c r="AT37"/>
  <c r="AU37"/>
  <c r="AV37"/>
  <c r="BA37"/>
  <c r="BB37"/>
  <c r="BC37"/>
  <c r="BG37"/>
  <c r="BH37"/>
  <c r="BM37"/>
  <c r="BO37"/>
  <c r="BP37"/>
  <c r="DB37"/>
  <c r="I38"/>
  <c r="D14" i="5" s="1"/>
  <c r="T38" i="1"/>
  <c r="U38"/>
  <c r="X38"/>
  <c r="Z38"/>
  <c r="AA38"/>
  <c r="AC38"/>
  <c r="AF38"/>
  <c r="AG38"/>
  <c r="AI38"/>
  <c r="AL38"/>
  <c r="AM38"/>
  <c r="AO38"/>
  <c r="AR38"/>
  <c r="AS38"/>
  <c r="AU38"/>
  <c r="AV38"/>
  <c r="AW38"/>
  <c r="BA38"/>
  <c r="BB38"/>
  <c r="BC38"/>
  <c r="BD38"/>
  <c r="BK38"/>
  <c r="BL38"/>
  <c r="BQ38"/>
  <c r="BR38"/>
  <c r="CC38"/>
  <c r="CD38"/>
  <c r="CF38"/>
  <c r="CE38" s="1"/>
  <c r="CI38"/>
  <c r="CH38" s="1"/>
  <c r="DB38"/>
  <c r="T39"/>
  <c r="I16" i="5" s="1"/>
  <c r="U39" i="1"/>
  <c r="I39" s="1"/>
  <c r="D15" i="5" s="1"/>
  <c r="X39" i="1"/>
  <c r="AB39"/>
  <c r="AC39"/>
  <c r="AD39"/>
  <c r="AH39"/>
  <c r="AI39"/>
  <c r="AJ39"/>
  <c r="AN39"/>
  <c r="AO39"/>
  <c r="AP39"/>
  <c r="AR39"/>
  <c r="AS39"/>
  <c r="AV39"/>
  <c r="AX39"/>
  <c r="AY39"/>
  <c r="BC39"/>
  <c r="BE39"/>
  <c r="BF39"/>
  <c r="BI39"/>
  <c r="BM39"/>
  <c r="BN39"/>
  <c r="BS39"/>
  <c r="CC39"/>
  <c r="CD39"/>
  <c r="CF39"/>
  <c r="CI39"/>
  <c r="CJ39"/>
  <c r="T40"/>
  <c r="U40"/>
  <c r="I40" s="1"/>
  <c r="D16" i="5" s="1"/>
  <c r="AM40" i="1"/>
  <c r="AR40"/>
  <c r="BH40"/>
  <c r="BK40"/>
  <c r="CC40"/>
  <c r="CD40"/>
  <c r="CF40"/>
  <c r="CI40"/>
  <c r="DS40"/>
  <c r="I41"/>
  <c r="D17" i="5" s="1"/>
  <c r="T41" i="1"/>
  <c r="U41"/>
  <c r="CC41"/>
  <c r="CD41"/>
  <c r="CF41"/>
  <c r="CI41"/>
  <c r="DB41"/>
  <c r="T42"/>
  <c r="I19" i="5" s="1"/>
  <c r="U42" i="1"/>
  <c r="I42" s="1"/>
  <c r="D18" i="5" s="1"/>
  <c r="W42" i="1"/>
  <c r="Z42"/>
  <c r="AA42"/>
  <c r="AD42"/>
  <c r="AF42"/>
  <c r="AG42"/>
  <c r="AJ42"/>
  <c r="AL42"/>
  <c r="AM42"/>
  <c r="AP42"/>
  <c r="AR42"/>
  <c r="AS42"/>
  <c r="AT42"/>
  <c r="AX42"/>
  <c r="AY42"/>
  <c r="BA42"/>
  <c r="BE42"/>
  <c r="BF42"/>
  <c r="BI42"/>
  <c r="BK42"/>
  <c r="BL42"/>
  <c r="BS42"/>
  <c r="CC42"/>
  <c r="CD42"/>
  <c r="CF42"/>
  <c r="CI42"/>
  <c r="CJ42"/>
  <c r="T43"/>
  <c r="I20" i="5" s="1"/>
  <c r="U43" i="1"/>
  <c r="I43" s="1"/>
  <c r="D19" i="5" s="1"/>
  <c r="W43" i="1"/>
  <c r="Z43"/>
  <c r="AA43"/>
  <c r="AB43"/>
  <c r="AC43"/>
  <c r="AF43"/>
  <c r="AG43"/>
  <c r="AH43"/>
  <c r="AI43"/>
  <c r="AL43"/>
  <c r="AM43"/>
  <c r="AN43"/>
  <c r="AO43"/>
  <c r="AR43"/>
  <c r="AS43"/>
  <c r="AT43"/>
  <c r="AV43"/>
  <c r="AW43"/>
  <c r="BA43"/>
  <c r="BC43"/>
  <c r="BD43"/>
  <c r="BG43"/>
  <c r="BM43"/>
  <c r="BN43"/>
  <c r="BO43"/>
  <c r="CC43"/>
  <c r="CD43"/>
  <c r="CF43"/>
  <c r="CI43"/>
  <c r="DB43"/>
  <c r="I44"/>
  <c r="T44"/>
  <c r="I21" i="5" s="1"/>
  <c r="U44" i="1"/>
  <c r="W44"/>
  <c r="X44"/>
  <c r="Z44"/>
  <c r="AA44"/>
  <c r="AB44"/>
  <c r="AC44"/>
  <c r="AF44"/>
  <c r="AG44"/>
  <c r="AH44"/>
  <c r="AI44"/>
  <c r="AL44"/>
  <c r="AM44"/>
  <c r="AN44"/>
  <c r="AO44"/>
  <c r="AR44"/>
  <c r="AS44"/>
  <c r="AT44"/>
  <c r="AU44"/>
  <c r="AV44"/>
  <c r="AW44"/>
  <c r="BA44"/>
  <c r="BB44"/>
  <c r="BC44"/>
  <c r="BD44"/>
  <c r="BK44"/>
  <c r="BL44"/>
  <c r="BQ44"/>
  <c r="BR44"/>
  <c r="CC44"/>
  <c r="CD44"/>
  <c r="CF44"/>
  <c r="CI44"/>
  <c r="DB44"/>
  <c r="T45"/>
  <c r="AY45" s="1"/>
  <c r="U45"/>
  <c r="I45" s="1"/>
  <c r="D21" i="5" s="1"/>
  <c r="AB45" i="1"/>
  <c r="AC45"/>
  <c r="AH45"/>
  <c r="AI45"/>
  <c r="AN45"/>
  <c r="AO45"/>
  <c r="AR45"/>
  <c r="AS45"/>
  <c r="AX45"/>
  <c r="BE45"/>
  <c r="BF45"/>
  <c r="BM45"/>
  <c r="CC45"/>
  <c r="CD45"/>
  <c r="CF45"/>
  <c r="CI45"/>
  <c r="CJ45"/>
  <c r="I46"/>
  <c r="D22" i="5" s="1"/>
  <c r="T46" i="1"/>
  <c r="I23" i="5" s="1"/>
  <c r="U46" i="1"/>
  <c r="W46"/>
  <c r="Z46"/>
  <c r="AA46"/>
  <c r="AF46"/>
  <c r="AG46"/>
  <c r="AL46"/>
  <c r="AM46"/>
  <c r="AR46"/>
  <c r="AS46"/>
  <c r="AT46"/>
  <c r="AU46"/>
  <c r="BA46"/>
  <c r="BB46"/>
  <c r="BG46"/>
  <c r="BH46"/>
  <c r="BK46"/>
  <c r="BL46"/>
  <c r="BO46"/>
  <c r="BP46"/>
  <c r="CC46"/>
  <c r="CD46"/>
  <c r="CF46"/>
  <c r="CI46"/>
  <c r="DB46"/>
  <c r="DS46"/>
  <c r="DT54" s="1"/>
  <c r="I47"/>
  <c r="D23" i="5" s="1"/>
  <c r="T47" i="1"/>
  <c r="AC47" s="1"/>
  <c r="U47"/>
  <c r="AB47"/>
  <c r="AN47"/>
  <c r="AO47"/>
  <c r="AV47"/>
  <c r="BM47"/>
  <c r="BN47"/>
  <c r="CC47"/>
  <c r="CD47"/>
  <c r="CF47"/>
  <c r="CI47"/>
  <c r="DB47"/>
  <c r="DS47"/>
  <c r="I48"/>
  <c r="D24" i="5" s="1"/>
  <c r="T48" i="1"/>
  <c r="I25" i="5" s="1"/>
  <c r="U48" i="1"/>
  <c r="W48"/>
  <c r="Y48"/>
  <c r="Z48"/>
  <c r="AA48"/>
  <c r="AD48"/>
  <c r="AE48"/>
  <c r="AF48"/>
  <c r="AG48"/>
  <c r="AJ48"/>
  <c r="AK48"/>
  <c r="AL48"/>
  <c r="AM48"/>
  <c r="AP48"/>
  <c r="AQ48"/>
  <c r="AR48"/>
  <c r="AS48"/>
  <c r="AT48"/>
  <c r="AU48"/>
  <c r="AX48"/>
  <c r="AY48"/>
  <c r="BA48"/>
  <c r="BB48"/>
  <c r="BE48"/>
  <c r="BF48"/>
  <c r="BI48"/>
  <c r="BJ48"/>
  <c r="BK48"/>
  <c r="BL48"/>
  <c r="BS48"/>
  <c r="BT48"/>
  <c r="CC48"/>
  <c r="CD48"/>
  <c r="CF48"/>
  <c r="CI48"/>
  <c r="CJ48"/>
  <c r="DB48"/>
  <c r="I49"/>
  <c r="T49"/>
  <c r="X49" s="1"/>
  <c r="U49"/>
  <c r="W49"/>
  <c r="Z49"/>
  <c r="AB49"/>
  <c r="AC49"/>
  <c r="AH49"/>
  <c r="AI49"/>
  <c r="AL49"/>
  <c r="AN49"/>
  <c r="AO49"/>
  <c r="AR49"/>
  <c r="AT49"/>
  <c r="AV49"/>
  <c r="BA49"/>
  <c r="BB49"/>
  <c r="BG49"/>
  <c r="BH49"/>
  <c r="BM49"/>
  <c r="BP49"/>
  <c r="CC49"/>
  <c r="CD49"/>
  <c r="CF49"/>
  <c r="CI49"/>
  <c r="DS49"/>
  <c r="DT49" s="1"/>
  <c r="DT51" s="1"/>
  <c r="T50"/>
  <c r="BL50" s="1"/>
  <c r="U50"/>
  <c r="I50" s="1"/>
  <c r="D26" i="5" s="1"/>
  <c r="Z50" i="1"/>
  <c r="AA50"/>
  <c r="AC50"/>
  <c r="AF50"/>
  <c r="AG50"/>
  <c r="AL50"/>
  <c r="AM50"/>
  <c r="AR50"/>
  <c r="AW50"/>
  <c r="CC50"/>
  <c r="CD50"/>
  <c r="CF50"/>
  <c r="CI50"/>
  <c r="DS50"/>
  <c r="DT50" s="1"/>
  <c r="I51"/>
  <c r="D27" i="5" s="1"/>
  <c r="T51" i="1"/>
  <c r="I28" i="5" s="1"/>
  <c r="U51" i="1"/>
  <c r="X51"/>
  <c r="Y51"/>
  <c r="AB51"/>
  <c r="AC51"/>
  <c r="AD51"/>
  <c r="AE51"/>
  <c r="AH51"/>
  <c r="AI51"/>
  <c r="AJ51"/>
  <c r="AK51"/>
  <c r="AN51"/>
  <c r="AO51"/>
  <c r="AP51"/>
  <c r="AQ51"/>
  <c r="AR51"/>
  <c r="AS51"/>
  <c r="AV51"/>
  <c r="AW51"/>
  <c r="AX51"/>
  <c r="AY51"/>
  <c r="BC51"/>
  <c r="BD51"/>
  <c r="BE51"/>
  <c r="BF51"/>
  <c r="BI51"/>
  <c r="BJ51"/>
  <c r="BM51"/>
  <c r="BN51"/>
  <c r="BS51"/>
  <c r="BT51"/>
  <c r="CC51"/>
  <c r="CD51"/>
  <c r="CF51"/>
  <c r="CI51"/>
  <c r="CJ51"/>
  <c r="T52"/>
  <c r="I29" i="5" s="1"/>
  <c r="U52" i="1"/>
  <c r="I52" s="1"/>
  <c r="D28" i="5" s="1"/>
  <c r="W52" i="1"/>
  <c r="Z52"/>
  <c r="AA52"/>
  <c r="AF52"/>
  <c r="AG52"/>
  <c r="AL52"/>
  <c r="AM52"/>
  <c r="AR52"/>
  <c r="AS52"/>
  <c r="AT52"/>
  <c r="AU52"/>
  <c r="BA52"/>
  <c r="BB52"/>
  <c r="BG52"/>
  <c r="BH52"/>
  <c r="BK52"/>
  <c r="BL52"/>
  <c r="BO52"/>
  <c r="BP52"/>
  <c r="CC52"/>
  <c r="CD52"/>
  <c r="CF52"/>
  <c r="CI52"/>
  <c r="T53"/>
  <c r="U53"/>
  <c r="I53" s="1"/>
  <c r="D29" i="5" s="1"/>
  <c r="X53" i="1"/>
  <c r="AC53"/>
  <c r="AH53"/>
  <c r="AI53"/>
  <c r="AO53"/>
  <c r="AR53"/>
  <c r="AS53"/>
  <c r="AW53"/>
  <c r="BC53"/>
  <c r="BD53"/>
  <c r="BN53"/>
  <c r="BQ53"/>
  <c r="BR53"/>
  <c r="CC53"/>
  <c r="CD53"/>
  <c r="CF53"/>
  <c r="CI53"/>
  <c r="I54"/>
  <c r="T54"/>
  <c r="U54"/>
  <c r="Z54"/>
  <c r="AA54"/>
  <c r="AF54"/>
  <c r="AG54"/>
  <c r="AK54"/>
  <c r="AL54"/>
  <c r="AM54"/>
  <c r="AQ54"/>
  <c r="AR54"/>
  <c r="AX54"/>
  <c r="AY54"/>
  <c r="BF54"/>
  <c r="BJ54"/>
  <c r="BT54"/>
  <c r="CC54"/>
  <c r="CD54"/>
  <c r="CF54"/>
  <c r="CI54"/>
  <c r="CJ54"/>
  <c r="I55"/>
  <c r="T55"/>
  <c r="I32" i="5" s="1"/>
  <c r="U55" i="1"/>
  <c r="W55"/>
  <c r="X55"/>
  <c r="Z55"/>
  <c r="AA55"/>
  <c r="AB55"/>
  <c r="AC55"/>
  <c r="AF55"/>
  <c r="AG55"/>
  <c r="AH55"/>
  <c r="AI55"/>
  <c r="AL55"/>
  <c r="AM55"/>
  <c r="AN55"/>
  <c r="AO55"/>
  <c r="AR55"/>
  <c r="AS55"/>
  <c r="AT55"/>
  <c r="AU55"/>
  <c r="AV55"/>
  <c r="AW55"/>
  <c r="BA55"/>
  <c r="BB55"/>
  <c r="BC55"/>
  <c r="BD55"/>
  <c r="BG55"/>
  <c r="BH55"/>
  <c r="BM55"/>
  <c r="BN55"/>
  <c r="BO55"/>
  <c r="BP55"/>
  <c r="CC55"/>
  <c r="CD55"/>
  <c r="CF55"/>
  <c r="CI55"/>
  <c r="DT55"/>
  <c r="EG55"/>
  <c r="T56"/>
  <c r="U56"/>
  <c r="I56" s="1"/>
  <c r="D32" i="5" s="1"/>
  <c r="Z56" i="1"/>
  <c r="AA56"/>
  <c r="AC56"/>
  <c r="AF56"/>
  <c r="AG56"/>
  <c r="AI56"/>
  <c r="AL56"/>
  <c r="AM56"/>
  <c r="AR56"/>
  <c r="AS56"/>
  <c r="AW56"/>
  <c r="BB56"/>
  <c r="BL56"/>
  <c r="BQ56"/>
  <c r="CC56"/>
  <c r="CD56"/>
  <c r="CF56"/>
  <c r="CI56"/>
  <c r="EG56"/>
  <c r="I57"/>
  <c r="D33" i="5" s="1"/>
  <c r="T57" i="1"/>
  <c r="I34" i="5" s="1"/>
  <c r="U57" i="1"/>
  <c r="X57"/>
  <c r="Y57"/>
  <c r="AB57"/>
  <c r="AC57"/>
  <c r="AD57"/>
  <c r="AE57"/>
  <c r="AH57"/>
  <c r="AI57"/>
  <c r="AJ57"/>
  <c r="AK57"/>
  <c r="AN57"/>
  <c r="AO57"/>
  <c r="AP57"/>
  <c r="AQ57"/>
  <c r="AR57"/>
  <c r="AS57"/>
  <c r="AV57"/>
  <c r="AW57"/>
  <c r="AX57"/>
  <c r="AY57"/>
  <c r="BC57"/>
  <c r="BD57"/>
  <c r="BE57"/>
  <c r="BF57"/>
  <c r="BI57"/>
  <c r="BJ57"/>
  <c r="BM57"/>
  <c r="BN57"/>
  <c r="BS57"/>
  <c r="BT57"/>
  <c r="CC57"/>
  <c r="CD57"/>
  <c r="CF57"/>
  <c r="CI57"/>
  <c r="CJ57"/>
  <c r="I58"/>
  <c r="D34" i="5" s="1"/>
  <c r="T58" i="1"/>
  <c r="U58"/>
  <c r="BG58"/>
  <c r="CC58"/>
  <c r="CD58"/>
  <c r="CF58"/>
  <c r="CI58"/>
  <c r="DT58"/>
  <c r="EG58"/>
  <c r="T59"/>
  <c r="AC59" s="1"/>
  <c r="U59"/>
  <c r="I59" s="1"/>
  <c r="AH59"/>
  <c r="AO59"/>
  <c r="AR59"/>
  <c r="BC59"/>
  <c r="BN59"/>
  <c r="BQ59"/>
  <c r="CA59"/>
  <c r="CC59"/>
  <c r="CD59"/>
  <c r="CF59"/>
  <c r="CI59"/>
  <c r="I60"/>
  <c r="D36" i="5" s="1"/>
  <c r="T60" i="1"/>
  <c r="Y60" s="1"/>
  <c r="U60"/>
  <c r="Z60"/>
  <c r="AA60"/>
  <c r="AE60"/>
  <c r="AF60"/>
  <c r="AG60"/>
  <c r="AK60"/>
  <c r="AL60"/>
  <c r="AM60"/>
  <c r="AQ60"/>
  <c r="AR60"/>
  <c r="AU60"/>
  <c r="BB60"/>
  <c r="BE60"/>
  <c r="BJ60"/>
  <c r="BT60"/>
  <c r="CA60"/>
  <c r="CA61" s="1"/>
  <c r="CA62" s="1"/>
  <c r="CA63" s="1"/>
  <c r="CA64" s="1"/>
  <c r="CA65" s="1"/>
  <c r="CA66" s="1"/>
  <c r="CA67" s="1"/>
  <c r="CA68" s="1"/>
  <c r="CA69" s="1"/>
  <c r="CC60"/>
  <c r="CD60"/>
  <c r="CF60"/>
  <c r="CI60"/>
  <c r="CJ60"/>
  <c r="CY60"/>
  <c r="T61"/>
  <c r="Z61" s="1"/>
  <c r="U61"/>
  <c r="I61" s="1"/>
  <c r="D37" i="5" s="1"/>
  <c r="AA61" i="1"/>
  <c r="AB61"/>
  <c r="AC61"/>
  <c r="AG61"/>
  <c r="AH61"/>
  <c r="AI61"/>
  <c r="AM61"/>
  <c r="AN61"/>
  <c r="AO61"/>
  <c r="AS61"/>
  <c r="AV61"/>
  <c r="AW61"/>
  <c r="BD61"/>
  <c r="BM61"/>
  <c r="BN61"/>
  <c r="CC61"/>
  <c r="CD61"/>
  <c r="CF61"/>
  <c r="CI61"/>
  <c r="DT61"/>
  <c r="EH61"/>
  <c r="T62"/>
  <c r="AV62" s="1"/>
  <c r="U62"/>
  <c r="I62" s="1"/>
  <c r="D38" i="5" s="1"/>
  <c r="Z62" i="1"/>
  <c r="AA62"/>
  <c r="AF62"/>
  <c r="AG62"/>
  <c r="AL62"/>
  <c r="AM62"/>
  <c r="AR62"/>
  <c r="AS62"/>
  <c r="AW62"/>
  <c r="BC62"/>
  <c r="BD62"/>
  <c r="BR62"/>
  <c r="CC62"/>
  <c r="CD62"/>
  <c r="CF62"/>
  <c r="CI62"/>
  <c r="CY62"/>
  <c r="EH62"/>
  <c r="I63"/>
  <c r="T63"/>
  <c r="I40" i="5" s="1"/>
  <c r="U63" i="1"/>
  <c r="X63"/>
  <c r="Y63"/>
  <c r="AB63"/>
  <c r="AC63"/>
  <c r="AD63"/>
  <c r="AE63"/>
  <c r="AH63"/>
  <c r="AI63"/>
  <c r="AJ63"/>
  <c r="AK63"/>
  <c r="AN63"/>
  <c r="AO63"/>
  <c r="AP63"/>
  <c r="AQ63"/>
  <c r="AR63"/>
  <c r="AS63"/>
  <c r="AV63"/>
  <c r="AW63"/>
  <c r="AX63"/>
  <c r="AY63"/>
  <c r="BC63"/>
  <c r="BD63"/>
  <c r="BE63"/>
  <c r="BF63"/>
  <c r="BI63"/>
  <c r="BJ63"/>
  <c r="BM63"/>
  <c r="BN63"/>
  <c r="BS63"/>
  <c r="BT63"/>
  <c r="CC63"/>
  <c r="CD63"/>
  <c r="CF63"/>
  <c r="CI63"/>
  <c r="CJ63"/>
  <c r="EH63"/>
  <c r="T64"/>
  <c r="AA64" s="1"/>
  <c r="U64"/>
  <c r="I64" s="1"/>
  <c r="D40" i="5" s="1"/>
  <c r="AF64" i="1"/>
  <c r="AM64"/>
  <c r="AR64"/>
  <c r="BA64"/>
  <c r="BH64"/>
  <c r="BK64"/>
  <c r="CC64"/>
  <c r="CD64"/>
  <c r="CF64"/>
  <c r="CI64"/>
  <c r="DT64"/>
  <c r="EH64"/>
  <c r="I65"/>
  <c r="T65"/>
  <c r="I42" i="5" s="1"/>
  <c r="U65" i="1"/>
  <c r="X65"/>
  <c r="AB65"/>
  <c r="AC65"/>
  <c r="AH65"/>
  <c r="AI65"/>
  <c r="AN65"/>
  <c r="AO65"/>
  <c r="AR65"/>
  <c r="AS65"/>
  <c r="AV65"/>
  <c r="AW65"/>
  <c r="BC65"/>
  <c r="BD65"/>
  <c r="BM65"/>
  <c r="BN65"/>
  <c r="BQ65"/>
  <c r="BR65"/>
  <c r="CC65"/>
  <c r="CD65"/>
  <c r="CF65"/>
  <c r="CI65"/>
  <c r="DT65"/>
  <c r="EH65"/>
  <c r="I66"/>
  <c r="T66"/>
  <c r="I43" i="5" s="1"/>
  <c r="U66" i="1"/>
  <c r="W66"/>
  <c r="Y66"/>
  <c r="Z66"/>
  <c r="AA66"/>
  <c r="AD66"/>
  <c r="AE66"/>
  <c r="AF66"/>
  <c r="AG66"/>
  <c r="AJ66"/>
  <c r="AK66"/>
  <c r="AL66"/>
  <c r="AM66"/>
  <c r="AP66"/>
  <c r="AQ66"/>
  <c r="AR66"/>
  <c r="AS66"/>
  <c r="AT66"/>
  <c r="AU66"/>
  <c r="AX66"/>
  <c r="AY66"/>
  <c r="BA66"/>
  <c r="BB66"/>
  <c r="BE66"/>
  <c r="BF66"/>
  <c r="BI66"/>
  <c r="BJ66"/>
  <c r="BK66"/>
  <c r="BL66"/>
  <c r="BS66"/>
  <c r="BT66"/>
  <c r="CC66"/>
  <c r="CD66"/>
  <c r="CF66"/>
  <c r="CI66"/>
  <c r="CJ66"/>
  <c r="EF66"/>
  <c r="EG66"/>
  <c r="EH66"/>
  <c r="I67"/>
  <c r="T67"/>
  <c r="I44" i="5" s="1"/>
  <c r="U67" i="1"/>
  <c r="W67"/>
  <c r="X67"/>
  <c r="Z67"/>
  <c r="AA67"/>
  <c r="AB67"/>
  <c r="AC67"/>
  <c r="AF67"/>
  <c r="AG67"/>
  <c r="AH67"/>
  <c r="AI67"/>
  <c r="AL67"/>
  <c r="AM67"/>
  <c r="AN67"/>
  <c r="AO67"/>
  <c r="AR67"/>
  <c r="AS67"/>
  <c r="AT67"/>
  <c r="AU67"/>
  <c r="AV67"/>
  <c r="AW67"/>
  <c r="BA67"/>
  <c r="BB67"/>
  <c r="BC67"/>
  <c r="BD67"/>
  <c r="BG67"/>
  <c r="BH67"/>
  <c r="BM67"/>
  <c r="BN67"/>
  <c r="BO67"/>
  <c r="BP67"/>
  <c r="CC67"/>
  <c r="CD67"/>
  <c r="CF67"/>
  <c r="CI67"/>
  <c r="DA67"/>
  <c r="DB67"/>
  <c r="DT67"/>
  <c r="EH67"/>
  <c r="I68"/>
  <c r="D44" i="5" s="1"/>
  <c r="T68" i="1"/>
  <c r="U68"/>
  <c r="Z68"/>
  <c r="AA68"/>
  <c r="AF68"/>
  <c r="AG68"/>
  <c r="AL68"/>
  <c r="AM68"/>
  <c r="CC68"/>
  <c r="CD68"/>
  <c r="CF68"/>
  <c r="CI68"/>
  <c r="CX68"/>
  <c r="DA68"/>
  <c r="DB68"/>
  <c r="EH68"/>
  <c r="T69"/>
  <c r="I46" i="5" s="1"/>
  <c r="U69" i="1"/>
  <c r="I69" s="1"/>
  <c r="X69"/>
  <c r="AB69"/>
  <c r="AC69"/>
  <c r="AD69"/>
  <c r="AH69"/>
  <c r="AI69"/>
  <c r="AJ69"/>
  <c r="AN69"/>
  <c r="AO69"/>
  <c r="AP69"/>
  <c r="AR69"/>
  <c r="AS69"/>
  <c r="AV69"/>
  <c r="AX69"/>
  <c r="AY69"/>
  <c r="BC69"/>
  <c r="BE69"/>
  <c r="BF69"/>
  <c r="BI69"/>
  <c r="BM69"/>
  <c r="BN69"/>
  <c r="BS69"/>
  <c r="CC69"/>
  <c r="CD69"/>
  <c r="CF69"/>
  <c r="CI69"/>
  <c r="CJ69"/>
  <c r="CX69"/>
  <c r="DA69"/>
  <c r="DB69"/>
  <c r="EH69"/>
  <c r="CA70"/>
  <c r="CA71" s="1"/>
  <c r="CA72" s="1"/>
  <c r="CA73" s="1"/>
  <c r="CA74" s="1"/>
  <c r="CC70"/>
  <c r="CD70"/>
  <c r="CF70"/>
  <c r="CI70"/>
  <c r="CX70"/>
  <c r="DA70"/>
  <c r="DB70"/>
  <c r="DT70"/>
  <c r="EH70"/>
  <c r="CC71"/>
  <c r="CD71"/>
  <c r="CF71"/>
  <c r="CI71"/>
  <c r="CX71"/>
  <c r="DA71"/>
  <c r="DB71"/>
  <c r="EH71"/>
  <c r="CC72"/>
  <c r="CD72"/>
  <c r="CF72"/>
  <c r="CI72"/>
  <c r="CJ72"/>
  <c r="CX72"/>
  <c r="DA72"/>
  <c r="DB72"/>
  <c r="DT72"/>
  <c r="EH72"/>
  <c r="CC73"/>
  <c r="CD73"/>
  <c r="CF73"/>
  <c r="CI73"/>
  <c r="CX73"/>
  <c r="DA73"/>
  <c r="DB73"/>
  <c r="DT73"/>
  <c r="EH73"/>
  <c r="CC74"/>
  <c r="CD74"/>
  <c r="CF74"/>
  <c r="CI74"/>
  <c r="CX74"/>
  <c r="DA74"/>
  <c r="DB74"/>
  <c r="EH74"/>
  <c r="CA75"/>
  <c r="CA76" s="1"/>
  <c r="CA77" s="1"/>
  <c r="CA78" s="1"/>
  <c r="CA79" s="1"/>
  <c r="CC75"/>
  <c r="CD75"/>
  <c r="CF75"/>
  <c r="CI75"/>
  <c r="CJ75"/>
  <c r="CX75"/>
  <c r="DA75"/>
  <c r="DB75"/>
  <c r="EH75"/>
  <c r="CC76"/>
  <c r="CD76"/>
  <c r="CF76"/>
  <c r="CI76"/>
  <c r="CX76"/>
  <c r="DA76"/>
  <c r="DB76"/>
  <c r="EH76"/>
  <c r="CC77"/>
  <c r="CD77"/>
  <c r="CF77"/>
  <c r="CI77"/>
  <c r="EH77"/>
  <c r="CC78"/>
  <c r="CD78"/>
  <c r="CF78"/>
  <c r="CI78"/>
  <c r="CJ78"/>
  <c r="CC79"/>
  <c r="CD79"/>
  <c r="CF79"/>
  <c r="CI79"/>
  <c r="CC80"/>
  <c r="CH81"/>
  <c r="CJ81" s="1"/>
  <c r="DX82"/>
  <c r="CC83"/>
  <c r="CD83"/>
  <c r="CF83"/>
  <c r="CE83" s="1"/>
  <c r="CH83"/>
  <c r="CI83"/>
  <c r="CA84"/>
  <c r="CC84"/>
  <c r="CD84"/>
  <c r="CF84"/>
  <c r="CH84"/>
  <c r="CI84"/>
  <c r="CJ84"/>
  <c r="EC84"/>
  <c r="CA85"/>
  <c r="CA86" s="1"/>
  <c r="CA87" s="1"/>
  <c r="CA88" s="1"/>
  <c r="CA89" s="1"/>
  <c r="CA90" s="1"/>
  <c r="CA91" s="1"/>
  <c r="CA92" s="1"/>
  <c r="CA93" s="1"/>
  <c r="CA94" s="1"/>
  <c r="CA95" s="1"/>
  <c r="CA96" s="1"/>
  <c r="CA97" s="1"/>
  <c r="CA98" s="1"/>
  <c r="CA99" s="1"/>
  <c r="CA100" s="1"/>
  <c r="CA101" s="1"/>
  <c r="CA102" s="1"/>
  <c r="CA103" s="1"/>
  <c r="CA104" s="1"/>
  <c r="CA105" s="1"/>
  <c r="CA106" s="1"/>
  <c r="CA107" s="1"/>
  <c r="CA108" s="1"/>
  <c r="CA109" s="1"/>
  <c r="CA110" s="1"/>
  <c r="CA111" s="1"/>
  <c r="CA112" s="1"/>
  <c r="CA113" s="1"/>
  <c r="CA114" s="1"/>
  <c r="CA115" s="1"/>
  <c r="CA116" s="1"/>
  <c r="CA117" s="1"/>
  <c r="CA118" s="1"/>
  <c r="CA119" s="1"/>
  <c r="CA120" s="1"/>
  <c r="CA121" s="1"/>
  <c r="CA122" s="1"/>
  <c r="CC85"/>
  <c r="CD85"/>
  <c r="CF85"/>
  <c r="CI85"/>
  <c r="CC86"/>
  <c r="CD86"/>
  <c r="CF86"/>
  <c r="CI86"/>
  <c r="DX86"/>
  <c r="CC87"/>
  <c r="CD87"/>
  <c r="CF87"/>
  <c r="CI87"/>
  <c r="CJ87"/>
  <c r="DX87"/>
  <c r="CC88"/>
  <c r="CD88"/>
  <c r="CF88"/>
  <c r="CI88"/>
  <c r="DX88"/>
  <c r="CC89"/>
  <c r="CD89"/>
  <c r="CF89"/>
  <c r="CI89"/>
  <c r="DX89"/>
  <c r="CC90"/>
  <c r="CD90"/>
  <c r="CF90"/>
  <c r="CI90"/>
  <c r="CJ90"/>
  <c r="DT90"/>
  <c r="EG90"/>
  <c r="EH90"/>
  <c r="EI90"/>
  <c r="EJ90"/>
  <c r="CC91"/>
  <c r="CD91"/>
  <c r="CF91"/>
  <c r="CI91"/>
  <c r="CC92"/>
  <c r="CD92"/>
  <c r="CF92"/>
  <c r="CI92"/>
  <c r="EL92"/>
  <c r="EM92"/>
  <c r="EN92"/>
  <c r="EO92" s="1"/>
  <c r="EQ92"/>
  <c r="ER92"/>
  <c r="ES92"/>
  <c r="ET92"/>
  <c r="CC93"/>
  <c r="CD93"/>
  <c r="CF93"/>
  <c r="CI93"/>
  <c r="CJ93"/>
  <c r="CC94"/>
  <c r="CD94"/>
  <c r="CF94"/>
  <c r="CI94"/>
  <c r="CC95"/>
  <c r="CD95"/>
  <c r="CF95"/>
  <c r="CI95"/>
  <c r="EQ95"/>
  <c r="ER95"/>
  <c r="ES95"/>
  <c r="ET95" s="1"/>
  <c r="CC96"/>
  <c r="CD96"/>
  <c r="CF96"/>
  <c r="CI96"/>
  <c r="CJ96"/>
  <c r="CC97"/>
  <c r="CD97"/>
  <c r="CF97"/>
  <c r="CI97"/>
  <c r="CC98"/>
  <c r="CD98"/>
  <c r="CF98"/>
  <c r="CI98"/>
  <c r="EG98"/>
  <c r="EH98" s="1"/>
  <c r="EI98" s="1"/>
  <c r="EJ98" s="1"/>
  <c r="EK98"/>
  <c r="EL98"/>
  <c r="EM98"/>
  <c r="EN98"/>
  <c r="EO98"/>
  <c r="EP98"/>
  <c r="CC99"/>
  <c r="CD99"/>
  <c r="CF99"/>
  <c r="CI99"/>
  <c r="CJ99"/>
  <c r="CV99"/>
  <c r="EK99"/>
  <c r="CC100"/>
  <c r="CD100"/>
  <c r="CF100"/>
  <c r="CI100"/>
  <c r="CV100"/>
  <c r="CC101"/>
  <c r="CD101"/>
  <c r="CF101"/>
  <c r="CI101"/>
  <c r="CC102"/>
  <c r="CD102"/>
  <c r="CF102"/>
  <c r="CI102"/>
  <c r="CJ102"/>
  <c r="CV102"/>
  <c r="CC103"/>
  <c r="CD103"/>
  <c r="CF103"/>
  <c r="CI103"/>
  <c r="CU103"/>
  <c r="CV103"/>
  <c r="CC104"/>
  <c r="CD104"/>
  <c r="CF104"/>
  <c r="CI104"/>
  <c r="CU104"/>
  <c r="CC105"/>
  <c r="CD105"/>
  <c r="CF105"/>
  <c r="CI105"/>
  <c r="CJ105"/>
  <c r="CC106"/>
  <c r="CD106"/>
  <c r="CF106"/>
  <c r="CI106"/>
  <c r="CC107"/>
  <c r="CD107"/>
  <c r="CF107"/>
  <c r="CI107"/>
  <c r="CC108"/>
  <c r="CD108"/>
  <c r="CF108"/>
  <c r="CI108"/>
  <c r="CJ108"/>
  <c r="CC109"/>
  <c r="CD109"/>
  <c r="CF109"/>
  <c r="CI109"/>
  <c r="CC110"/>
  <c r="CD110"/>
  <c r="CF110"/>
  <c r="CI110"/>
  <c r="CC111"/>
  <c r="CD111"/>
  <c r="CF111"/>
  <c r="CI111"/>
  <c r="CJ111"/>
  <c r="CC112"/>
  <c r="CD112"/>
  <c r="CF112"/>
  <c r="CI112"/>
  <c r="CC113"/>
  <c r="CD113"/>
  <c r="CF113"/>
  <c r="CI113"/>
  <c r="CC114"/>
  <c r="CD114"/>
  <c r="CF114"/>
  <c r="CI114"/>
  <c r="CJ114"/>
  <c r="CC115"/>
  <c r="CD115"/>
  <c r="CF115"/>
  <c r="CI115"/>
  <c r="CC116"/>
  <c r="CD116"/>
  <c r="CF116"/>
  <c r="CI116"/>
  <c r="CC117"/>
  <c r="CD117"/>
  <c r="CF117"/>
  <c r="CI117"/>
  <c r="CJ117"/>
  <c r="CC118"/>
  <c r="CD118"/>
  <c r="CF118"/>
  <c r="CI118"/>
  <c r="CC119"/>
  <c r="CD119"/>
  <c r="CF119"/>
  <c r="CI119"/>
  <c r="CC120"/>
  <c r="CD120"/>
  <c r="CF120"/>
  <c r="CI120"/>
  <c r="CJ120"/>
  <c r="CC121"/>
  <c r="CD121"/>
  <c r="CF121"/>
  <c r="CI121"/>
  <c r="CC122"/>
  <c r="CD122"/>
  <c r="CF122"/>
  <c r="CI122"/>
  <c r="CA123"/>
  <c r="CA124" s="1"/>
  <c r="CC123"/>
  <c r="CD123"/>
  <c r="CF123"/>
  <c r="CI123"/>
  <c r="CJ123"/>
  <c r="CC124"/>
  <c r="CD124"/>
  <c r="CF124"/>
  <c r="CI124"/>
  <c r="CH125"/>
  <c r="CJ125"/>
  <c r="CB131"/>
  <c r="CB132"/>
  <c r="CB133"/>
  <c r="CB134"/>
  <c r="C5" i="13"/>
  <c r="C7" s="1"/>
  <c r="D5"/>
  <c r="E5"/>
  <c r="F5"/>
  <c r="G5"/>
  <c r="H5"/>
  <c r="I5"/>
  <c r="J5"/>
  <c r="K5"/>
  <c r="L5"/>
  <c r="M5"/>
  <c r="N5"/>
  <c r="O5"/>
  <c r="P5"/>
  <c r="P7" s="1"/>
  <c r="Q5"/>
  <c r="R5"/>
  <c r="S5"/>
  <c r="T5"/>
  <c r="U5"/>
  <c r="W5"/>
  <c r="D18" s="1"/>
  <c r="X5"/>
  <c r="Z5"/>
  <c r="V9"/>
  <c r="N11"/>
  <c r="P11" s="1"/>
  <c r="D12"/>
  <c r="N13"/>
  <c r="P13" s="1"/>
  <c r="CN9" i="1" s="1"/>
  <c r="B14" i="13"/>
  <c r="B15"/>
  <c r="I15"/>
  <c r="N15"/>
  <c r="P15"/>
  <c r="CN30" i="1" s="1"/>
  <c r="B16" i="13"/>
  <c r="I17"/>
  <c r="S6" i="1" s="1"/>
  <c r="I19" i="13"/>
  <c r="I21"/>
  <c r="D26"/>
  <c r="B35"/>
  <c r="A50"/>
  <c r="D52" s="1"/>
  <c r="D50"/>
  <c r="D56"/>
  <c r="D64"/>
  <c r="D66"/>
  <c r="V2" i="17"/>
  <c r="V5"/>
  <c r="V6"/>
  <c r="M5" s="1"/>
  <c r="V7"/>
  <c r="V8"/>
  <c r="V9"/>
  <c r="BI40" i="14" s="1"/>
  <c r="L10" i="17"/>
  <c r="V10"/>
  <c r="P22" s="1"/>
  <c r="V11"/>
  <c r="L12"/>
  <c r="BO20" i="14" s="1"/>
  <c r="V12" i="17"/>
  <c r="V13"/>
  <c r="L14"/>
  <c r="BO25" i="14" s="1"/>
  <c r="L15" i="17"/>
  <c r="V18"/>
  <c r="F20"/>
  <c r="AD20"/>
  <c r="AD21"/>
  <c r="C24"/>
  <c r="AF26"/>
  <c r="AG28"/>
  <c r="AI28"/>
  <c r="AK28"/>
  <c r="AG30"/>
  <c r="AI30"/>
  <c r="AK30"/>
  <c r="C31"/>
  <c r="U57"/>
  <c r="U58"/>
  <c r="U59"/>
  <c r="U60"/>
  <c r="D2" i="2"/>
  <c r="D3"/>
  <c r="J3"/>
  <c r="H4"/>
  <c r="J4"/>
  <c r="H5"/>
  <c r="J5"/>
  <c r="H6"/>
  <c r="J6"/>
  <c r="N6"/>
  <c r="S6"/>
  <c r="C24" s="1"/>
  <c r="T6"/>
  <c r="H7"/>
  <c r="J7"/>
  <c r="J8"/>
  <c r="H9"/>
  <c r="J9"/>
  <c r="H10"/>
  <c r="J12"/>
  <c r="J13"/>
  <c r="J14"/>
  <c r="J15"/>
  <c r="J16"/>
  <c r="J17"/>
  <c r="J18"/>
  <c r="J19"/>
  <c r="J20"/>
  <c r="E22"/>
  <c r="M22"/>
  <c r="I23"/>
  <c r="J23"/>
  <c r="K23"/>
  <c r="L23"/>
  <c r="M23"/>
  <c r="N23"/>
  <c r="O23"/>
  <c r="S23"/>
  <c r="E24"/>
  <c r="G24"/>
  <c r="I24"/>
  <c r="J24"/>
  <c r="K24"/>
  <c r="L24"/>
  <c r="M24"/>
  <c r="N24"/>
  <c r="O24"/>
  <c r="S24"/>
  <c r="I25"/>
  <c r="J25"/>
  <c r="K25"/>
  <c r="L25"/>
  <c r="M25"/>
  <c r="N25"/>
  <c r="O25"/>
  <c r="S25"/>
  <c r="C26"/>
  <c r="D26"/>
  <c r="E26"/>
  <c r="F26"/>
  <c r="G26"/>
  <c r="H26"/>
  <c r="I26"/>
  <c r="J26"/>
  <c r="K26"/>
  <c r="L26"/>
  <c r="M26"/>
  <c r="N26"/>
  <c r="O26"/>
  <c r="S26"/>
  <c r="C27"/>
  <c r="D27"/>
  <c r="E27"/>
  <c r="F27"/>
  <c r="G27"/>
  <c r="H27"/>
  <c r="I27"/>
  <c r="J27"/>
  <c r="K27"/>
  <c r="L27"/>
  <c r="M27"/>
  <c r="N27"/>
  <c r="O27"/>
  <c r="S27"/>
  <c r="C28"/>
  <c r="D28"/>
  <c r="E28"/>
  <c r="F28"/>
  <c r="G28"/>
  <c r="H28"/>
  <c r="I28"/>
  <c r="J28"/>
  <c r="K28"/>
  <c r="L28"/>
  <c r="M28"/>
  <c r="N28"/>
  <c r="O28"/>
  <c r="S28"/>
  <c r="C29"/>
  <c r="D29"/>
  <c r="E29"/>
  <c r="F29"/>
  <c r="G29"/>
  <c r="H29"/>
  <c r="I29"/>
  <c r="J29"/>
  <c r="K29"/>
  <c r="L29"/>
  <c r="M29"/>
  <c r="N29"/>
  <c r="O29"/>
  <c r="S29"/>
  <c r="C30"/>
  <c r="D30"/>
  <c r="E30"/>
  <c r="F30"/>
  <c r="G30"/>
  <c r="H30"/>
  <c r="I30"/>
  <c r="J30"/>
  <c r="K30"/>
  <c r="L30"/>
  <c r="M30"/>
  <c r="N30"/>
  <c r="O30"/>
  <c r="S30"/>
  <c r="C31"/>
  <c r="D31"/>
  <c r="E31"/>
  <c r="F31"/>
  <c r="G31"/>
  <c r="H31"/>
  <c r="I31"/>
  <c r="J31"/>
  <c r="K31"/>
  <c r="L31"/>
  <c r="M31"/>
  <c r="N31"/>
  <c r="O31"/>
  <c r="S31"/>
  <c r="C32"/>
  <c r="D32"/>
  <c r="E32"/>
  <c r="F32"/>
  <c r="G32"/>
  <c r="H32"/>
  <c r="I32"/>
  <c r="J32"/>
  <c r="K32"/>
  <c r="L32"/>
  <c r="M32"/>
  <c r="N32"/>
  <c r="O32"/>
  <c r="S32"/>
  <c r="C33"/>
  <c r="D33"/>
  <c r="E33"/>
  <c r="F33"/>
  <c r="G33"/>
  <c r="H33"/>
  <c r="I33"/>
  <c r="J33"/>
  <c r="K33"/>
  <c r="L33"/>
  <c r="M33"/>
  <c r="N33"/>
  <c r="O33"/>
  <c r="S33"/>
  <c r="C34"/>
  <c r="D34"/>
  <c r="E34"/>
  <c r="F34"/>
  <c r="G34"/>
  <c r="H34"/>
  <c r="I34"/>
  <c r="J34"/>
  <c r="K34"/>
  <c r="L34"/>
  <c r="M34"/>
  <c r="N34"/>
  <c r="O34"/>
  <c r="S34"/>
  <c r="C35"/>
  <c r="D35"/>
  <c r="E35"/>
  <c r="F35"/>
  <c r="G35"/>
  <c r="H35"/>
  <c r="I35"/>
  <c r="J35"/>
  <c r="K35"/>
  <c r="L35"/>
  <c r="M35"/>
  <c r="N35"/>
  <c r="O35"/>
  <c r="S35"/>
  <c r="C36"/>
  <c r="D36"/>
  <c r="E36"/>
  <c r="F36"/>
  <c r="G36"/>
  <c r="H36"/>
  <c r="I36"/>
  <c r="J36"/>
  <c r="K36"/>
  <c r="L36"/>
  <c r="M36"/>
  <c r="N36"/>
  <c r="O36"/>
  <c r="C37"/>
  <c r="D37"/>
  <c r="E37"/>
  <c r="F37"/>
  <c r="G37"/>
  <c r="H37"/>
  <c r="I37"/>
  <c r="J37"/>
  <c r="K37"/>
  <c r="L37"/>
  <c r="M37"/>
  <c r="N37"/>
  <c r="O37"/>
  <c r="S37"/>
  <c r="C38"/>
  <c r="D38"/>
  <c r="E38"/>
  <c r="F38"/>
  <c r="G38"/>
  <c r="H38"/>
  <c r="I38"/>
  <c r="J38"/>
  <c r="K38"/>
  <c r="L38"/>
  <c r="M38"/>
  <c r="N38"/>
  <c r="O38"/>
  <c r="S38"/>
  <c r="C39"/>
  <c r="D39"/>
  <c r="E39"/>
  <c r="F39"/>
  <c r="G39"/>
  <c r="H39"/>
  <c r="I39"/>
  <c r="J39"/>
  <c r="K39"/>
  <c r="L39"/>
  <c r="M39"/>
  <c r="N39"/>
  <c r="O39"/>
  <c r="S39"/>
  <c r="C40"/>
  <c r="D40"/>
  <c r="E40"/>
  <c r="F40"/>
  <c r="G40"/>
  <c r="H40"/>
  <c r="I40"/>
  <c r="J40"/>
  <c r="K40"/>
  <c r="L40"/>
  <c r="M40"/>
  <c r="N40"/>
  <c r="O40"/>
  <c r="S40"/>
  <c r="C41"/>
  <c r="D41"/>
  <c r="E41"/>
  <c r="F41"/>
  <c r="G41"/>
  <c r="H41"/>
  <c r="I41"/>
  <c r="J41"/>
  <c r="K41"/>
  <c r="L41"/>
  <c r="M41"/>
  <c r="N41"/>
  <c r="O41"/>
  <c r="S41"/>
  <c r="C42"/>
  <c r="D42"/>
  <c r="E42"/>
  <c r="F42"/>
  <c r="G42"/>
  <c r="H42"/>
  <c r="I42"/>
  <c r="J42"/>
  <c r="K42"/>
  <c r="L42"/>
  <c r="M42"/>
  <c r="N42"/>
  <c r="O42"/>
  <c r="S42"/>
  <c r="C43"/>
  <c r="D43"/>
  <c r="E43"/>
  <c r="F43"/>
  <c r="G43"/>
  <c r="H43"/>
  <c r="I43"/>
  <c r="J43"/>
  <c r="K43"/>
  <c r="L43"/>
  <c r="M43"/>
  <c r="N43"/>
  <c r="O43"/>
  <c r="S43"/>
  <c r="C44"/>
  <c r="D44"/>
  <c r="E44"/>
  <c r="F44"/>
  <c r="G44"/>
  <c r="H44"/>
  <c r="I44"/>
  <c r="J44"/>
  <c r="K44"/>
  <c r="L44"/>
  <c r="M44"/>
  <c r="N44"/>
  <c r="O44"/>
  <c r="S44"/>
  <c r="C45"/>
  <c r="D45"/>
  <c r="E45"/>
  <c r="F45"/>
  <c r="G45"/>
  <c r="H45"/>
  <c r="I45"/>
  <c r="J45"/>
  <c r="K45"/>
  <c r="L45"/>
  <c r="M45"/>
  <c r="N45"/>
  <c r="O45"/>
  <c r="C46"/>
  <c r="D46"/>
  <c r="E46"/>
  <c r="F46"/>
  <c r="G46"/>
  <c r="H46"/>
  <c r="I46"/>
  <c r="J46"/>
  <c r="K46"/>
  <c r="L46"/>
  <c r="M46"/>
  <c r="N46"/>
  <c r="O46"/>
  <c r="S46"/>
  <c r="C47"/>
  <c r="D47"/>
  <c r="E47"/>
  <c r="F47"/>
  <c r="G47"/>
  <c r="H47"/>
  <c r="I47"/>
  <c r="J47"/>
  <c r="K47"/>
  <c r="L47"/>
  <c r="M47"/>
  <c r="N47"/>
  <c r="O47"/>
  <c r="S47"/>
  <c r="C48"/>
  <c r="D48"/>
  <c r="E48"/>
  <c r="F48"/>
  <c r="G48"/>
  <c r="H48"/>
  <c r="I48"/>
  <c r="J48"/>
  <c r="K48"/>
  <c r="L48"/>
  <c r="M48"/>
  <c r="N48"/>
  <c r="O48"/>
  <c r="S48"/>
  <c r="C49"/>
  <c r="D49"/>
  <c r="E49"/>
  <c r="F49"/>
  <c r="G49"/>
  <c r="H49"/>
  <c r="J49"/>
  <c r="K49"/>
  <c r="L49"/>
  <c r="M49"/>
  <c r="N49"/>
  <c r="O49"/>
  <c r="S49"/>
  <c r="C50"/>
  <c r="D50"/>
  <c r="E50"/>
  <c r="F50"/>
  <c r="G50"/>
  <c r="H50"/>
  <c r="J50"/>
  <c r="K50"/>
  <c r="L50"/>
  <c r="M50"/>
  <c r="N50"/>
  <c r="O50"/>
  <c r="S50"/>
  <c r="C51"/>
  <c r="D51"/>
  <c r="E51"/>
  <c r="F51"/>
  <c r="G51"/>
  <c r="H51"/>
  <c r="I51"/>
  <c r="J51"/>
  <c r="K51"/>
  <c r="L51"/>
  <c r="M51"/>
  <c r="N51"/>
  <c r="O51"/>
  <c r="S51"/>
  <c r="C52"/>
  <c r="D52"/>
  <c r="E52"/>
  <c r="F52"/>
  <c r="G52"/>
  <c r="H52"/>
  <c r="I52"/>
  <c r="J52"/>
  <c r="K52"/>
  <c r="L52"/>
  <c r="M52"/>
  <c r="N52"/>
  <c r="O52"/>
  <c r="S52"/>
  <c r="C53"/>
  <c r="D53"/>
  <c r="E53"/>
  <c r="F53"/>
  <c r="G53"/>
  <c r="H53"/>
  <c r="I53"/>
  <c r="J53"/>
  <c r="K53"/>
  <c r="L53"/>
  <c r="M53"/>
  <c r="N53"/>
  <c r="O53"/>
  <c r="C54"/>
  <c r="D54"/>
  <c r="E54"/>
  <c r="F54"/>
  <c r="G54"/>
  <c r="H54"/>
  <c r="I54"/>
  <c r="J54"/>
  <c r="K54"/>
  <c r="L54"/>
  <c r="M54"/>
  <c r="N54"/>
  <c r="O54"/>
  <c r="S54"/>
  <c r="C55"/>
  <c r="D55"/>
  <c r="E55"/>
  <c r="F55"/>
  <c r="G55"/>
  <c r="H55"/>
  <c r="I55"/>
  <c r="J55"/>
  <c r="K55"/>
  <c r="L55"/>
  <c r="M55"/>
  <c r="N55"/>
  <c r="O55"/>
  <c r="S55"/>
  <c r="C56"/>
  <c r="D56"/>
  <c r="E56"/>
  <c r="F56"/>
  <c r="G56"/>
  <c r="H56"/>
  <c r="I56"/>
  <c r="J56"/>
  <c r="K56"/>
  <c r="L56"/>
  <c r="M56"/>
  <c r="N56"/>
  <c r="O56"/>
  <c r="S56"/>
  <c r="C57"/>
  <c r="D57"/>
  <c r="E57"/>
  <c r="F57"/>
  <c r="G57"/>
  <c r="H57"/>
  <c r="I57"/>
  <c r="J57"/>
  <c r="K57"/>
  <c r="L57"/>
  <c r="M57"/>
  <c r="N57"/>
  <c r="O57"/>
  <c r="S57"/>
  <c r="C58"/>
  <c r="D58"/>
  <c r="E58"/>
  <c r="F58"/>
  <c r="G58"/>
  <c r="H58"/>
  <c r="J58"/>
  <c r="K58"/>
  <c r="L58"/>
  <c r="M58"/>
  <c r="N58"/>
  <c r="O58"/>
  <c r="S58"/>
  <c r="C59"/>
  <c r="D59"/>
  <c r="E59"/>
  <c r="F59"/>
  <c r="G59"/>
  <c r="H59"/>
  <c r="I59"/>
  <c r="J59"/>
  <c r="K59"/>
  <c r="L59"/>
  <c r="M59"/>
  <c r="N59"/>
  <c r="O59"/>
  <c r="S59"/>
  <c r="C60"/>
  <c r="D60"/>
  <c r="E60"/>
  <c r="F60"/>
  <c r="G60"/>
  <c r="H60"/>
  <c r="I60"/>
  <c r="J60"/>
  <c r="K60"/>
  <c r="L60"/>
  <c r="M60"/>
  <c r="N60"/>
  <c r="O60"/>
  <c r="S60"/>
  <c r="C61"/>
  <c r="D61"/>
  <c r="E61"/>
  <c r="F61"/>
  <c r="G61"/>
  <c r="H61"/>
  <c r="J61"/>
  <c r="K61"/>
  <c r="L61"/>
  <c r="M61"/>
  <c r="N61"/>
  <c r="O61"/>
  <c r="S61"/>
  <c r="C62"/>
  <c r="D62"/>
  <c r="E62"/>
  <c r="F62"/>
  <c r="G62"/>
  <c r="H62"/>
  <c r="I62"/>
  <c r="J62"/>
  <c r="K62"/>
  <c r="L62"/>
  <c r="M62"/>
  <c r="N62"/>
  <c r="O62"/>
  <c r="S62"/>
  <c r="C63"/>
  <c r="D63"/>
  <c r="E63"/>
  <c r="F63"/>
  <c r="G63"/>
  <c r="H63"/>
  <c r="I63"/>
  <c r="J63"/>
  <c r="K63"/>
  <c r="L63"/>
  <c r="M63"/>
  <c r="N63"/>
  <c r="O63"/>
  <c r="C64"/>
  <c r="D64"/>
  <c r="E64"/>
  <c r="F64"/>
  <c r="G64"/>
  <c r="H64"/>
  <c r="J64"/>
  <c r="K64"/>
  <c r="L64"/>
  <c r="M64"/>
  <c r="N64"/>
  <c r="O64"/>
  <c r="S64"/>
  <c r="E2" i="20"/>
  <c r="I3"/>
  <c r="C5"/>
  <c r="E5"/>
  <c r="H5"/>
  <c r="C6"/>
  <c r="E6"/>
  <c r="C7"/>
  <c r="E7"/>
  <c r="C8"/>
  <c r="E8"/>
  <c r="C9"/>
  <c r="E9"/>
  <c r="C10"/>
  <c r="E10"/>
  <c r="C11"/>
  <c r="E11"/>
  <c r="C12"/>
  <c r="E12"/>
  <c r="C13"/>
  <c r="E13"/>
  <c r="C14"/>
  <c r="E14"/>
  <c r="C15"/>
  <c r="E15"/>
  <c r="C16"/>
  <c r="E16"/>
  <c r="C17"/>
  <c r="E17"/>
  <c r="C18"/>
  <c r="E18"/>
  <c r="C19"/>
  <c r="E19"/>
  <c r="C20"/>
  <c r="E20"/>
  <c r="C21"/>
  <c r="E21"/>
  <c r="C22"/>
  <c r="E22"/>
  <c r="C23"/>
  <c r="E23"/>
  <c r="C24"/>
  <c r="E24"/>
  <c r="C25"/>
  <c r="E25"/>
  <c r="B26"/>
  <c r="C26"/>
  <c r="E26"/>
  <c r="F26"/>
  <c r="B27"/>
  <c r="B28" s="1"/>
  <c r="C27"/>
  <c r="E27"/>
  <c r="F27"/>
  <c r="F28" s="1"/>
  <c r="C28"/>
  <c r="E28"/>
  <c r="B29"/>
  <c r="B30" s="1"/>
  <c r="B31" s="1"/>
  <c r="B32" s="1"/>
  <c r="B33" s="1"/>
  <c r="B34" s="1"/>
  <c r="C29"/>
  <c r="E29"/>
  <c r="F29"/>
  <c r="F30" s="1"/>
  <c r="C30"/>
  <c r="E30"/>
  <c r="C31"/>
  <c r="E31"/>
  <c r="F3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C32"/>
  <c r="E32"/>
  <c r="C33"/>
  <c r="E33"/>
  <c r="C34"/>
  <c r="E34"/>
  <c r="B35"/>
  <c r="B36" s="1"/>
  <c r="B37" s="1"/>
  <c r="B38" s="1"/>
  <c r="B39" s="1"/>
  <c r="B40" s="1"/>
  <c r="B41" s="1"/>
  <c r="B42" s="1"/>
  <c r="B43" s="1"/>
  <c r="B44" s="1"/>
  <c r="B45" s="1"/>
  <c r="B46" s="1"/>
  <c r="C35"/>
  <c r="E35"/>
  <c r="C36"/>
  <c r="E36"/>
  <c r="C37"/>
  <c r="E37"/>
  <c r="C38"/>
  <c r="E38"/>
  <c r="C39"/>
  <c r="E39"/>
  <c r="C40"/>
  <c r="E40"/>
  <c r="C41"/>
  <c r="E41"/>
  <c r="C42"/>
  <c r="D42"/>
  <c r="E42"/>
  <c r="C43"/>
  <c r="E43"/>
  <c r="C44"/>
  <c r="E44"/>
  <c r="H44"/>
  <c r="C45"/>
  <c r="E45"/>
  <c r="F45"/>
  <c r="F46" s="1"/>
  <c r="C46"/>
  <c r="D46"/>
  <c r="E46"/>
  <c r="B7" i="26"/>
  <c r="Q30" s="1"/>
  <c r="E7"/>
  <c r="B8"/>
  <c r="B9"/>
  <c r="B10"/>
  <c r="AA21"/>
  <c r="E6" s="1"/>
  <c r="AA45"/>
  <c r="AA71"/>
  <c r="E8" s="1"/>
  <c r="AA92"/>
  <c r="E9" s="1"/>
  <c r="AA119"/>
  <c r="E10" s="1"/>
  <c r="AA146"/>
  <c r="E11" s="1"/>
  <c r="Q156"/>
  <c r="AA172"/>
  <c r="E12" s="1"/>
  <c r="AA199"/>
  <c r="E13" s="1"/>
  <c r="H3" i="11"/>
  <c r="Y5" i="13" s="1"/>
  <c r="J4" i="11"/>
  <c r="J7"/>
  <c r="H8"/>
  <c r="C8" s="1"/>
  <c r="AC8"/>
  <c r="J9"/>
  <c r="C9" s="1"/>
  <c r="L9"/>
  <c r="AC10"/>
  <c r="H11"/>
  <c r="I11"/>
  <c r="K11"/>
  <c r="AC11"/>
  <c r="AC12"/>
  <c r="AC13"/>
  <c r="AC14"/>
  <c r="AC15"/>
  <c r="AC16"/>
  <c r="AC17"/>
  <c r="AC20"/>
  <c r="D21"/>
  <c r="D22" s="1"/>
  <c r="F21"/>
  <c r="F22" s="1"/>
  <c r="N21"/>
  <c r="N22" s="1"/>
  <c r="I22"/>
  <c r="D26"/>
  <c r="F26"/>
  <c r="E30"/>
  <c r="J4" i="18"/>
  <c r="AC8"/>
  <c r="AC19" s="1"/>
  <c r="AC10"/>
  <c r="AD10"/>
  <c r="AC11"/>
  <c r="AD11"/>
  <c r="AC12"/>
  <c r="AD12"/>
  <c r="AC13"/>
  <c r="AD13"/>
  <c r="AC14"/>
  <c r="AD14"/>
  <c r="AC15"/>
  <c r="AD15"/>
  <c r="AC16"/>
  <c r="AD16"/>
  <c r="AC17"/>
  <c r="AD17"/>
  <c r="AC20"/>
  <c r="AD20"/>
  <c r="D21"/>
  <c r="F21"/>
  <c r="F22" s="1"/>
  <c r="N21"/>
  <c r="N22" s="1"/>
  <c r="D22"/>
  <c r="I22"/>
  <c r="D26"/>
  <c r="F26"/>
  <c r="E30"/>
  <c r="H3" i="24"/>
  <c r="J3"/>
  <c r="J4" s="1"/>
  <c r="H4"/>
  <c r="AC10"/>
  <c r="AD10"/>
  <c r="AC11"/>
  <c r="AD11"/>
  <c r="AC12"/>
  <c r="AD12"/>
  <c r="AC13"/>
  <c r="AD13"/>
  <c r="AC14"/>
  <c r="AD14"/>
  <c r="AC15"/>
  <c r="AD15"/>
  <c r="AC16"/>
  <c r="AD16"/>
  <c r="AC17"/>
  <c r="AD17"/>
  <c r="AC20"/>
  <c r="AD20"/>
  <c r="D21"/>
  <c r="D22" s="1"/>
  <c r="F21"/>
  <c r="N21"/>
  <c r="F22"/>
  <c r="I22"/>
  <c r="N22"/>
  <c r="D26"/>
  <c r="F26"/>
  <c r="E30"/>
  <c r="D5" i="23"/>
  <c r="H21" s="1"/>
  <c r="H22" s="1"/>
  <c r="F5"/>
  <c r="N5"/>
  <c r="N6" s="1"/>
  <c r="X5"/>
  <c r="Y5" s="1"/>
  <c r="D6"/>
  <c r="F6"/>
  <c r="I6"/>
  <c r="X6"/>
  <c r="Y6" s="1"/>
  <c r="Y8"/>
  <c r="AB2" s="1"/>
  <c r="D10"/>
  <c r="F10"/>
  <c r="E14"/>
  <c r="F21"/>
  <c r="D27" s="1"/>
  <c r="D28" s="1"/>
  <c r="C22"/>
  <c r="E22"/>
  <c r="G22"/>
  <c r="I22"/>
  <c r="K22"/>
  <c r="L22"/>
  <c r="M22"/>
  <c r="O22"/>
  <c r="C25"/>
  <c r="D25"/>
  <c r="E25"/>
  <c r="F25"/>
  <c r="G25"/>
  <c r="I25"/>
  <c r="F27"/>
  <c r="F28" s="1"/>
  <c r="L27"/>
  <c r="L28" s="1"/>
  <c r="C28"/>
  <c r="I28"/>
  <c r="K28"/>
  <c r="O28"/>
  <c r="AF47"/>
  <c r="AK49"/>
  <c r="AF50"/>
  <c r="AF51"/>
  <c r="AF52" s="1"/>
  <c r="AF53" s="1"/>
  <c r="AF54" s="1"/>
  <c r="AF55"/>
  <c r="AF56" s="1"/>
  <c r="AF57" s="1"/>
  <c r="AB57"/>
  <c r="AB58" s="1"/>
  <c r="AB59" s="1"/>
  <c r="AF58"/>
  <c r="AF59" s="1"/>
  <c r="AB60"/>
  <c r="AB61"/>
  <c r="AB62" s="1"/>
  <c r="AB63" s="1"/>
  <c r="AB64"/>
  <c r="AB65" s="1"/>
  <c r="AB66" s="1"/>
  <c r="AB67" s="1"/>
  <c r="AB68" s="1"/>
  <c r="AB69" s="1"/>
  <c r="AB70" s="1"/>
  <c r="AB71" s="1"/>
  <c r="AB72" s="1"/>
  <c r="AB73" s="1"/>
  <c r="AB74" s="1"/>
  <c r="AB75" s="1"/>
  <c r="W2" i="15"/>
  <c r="CZ2"/>
  <c r="T3"/>
  <c r="EG3"/>
  <c r="EG10" s="1"/>
  <c r="FJ3"/>
  <c r="FR3"/>
  <c r="GH3"/>
  <c r="D4"/>
  <c r="FM7" s="1"/>
  <c r="S4"/>
  <c r="T5" i="17" s="1"/>
  <c r="D6" s="1"/>
  <c r="W4" i="15"/>
  <c r="C2" i="17" s="1"/>
  <c r="FR4" i="15"/>
  <c r="GH4"/>
  <c r="E5"/>
  <c r="T5"/>
  <c r="GH5"/>
  <c r="D6"/>
  <c r="J6"/>
  <c r="FJ2" s="1"/>
  <c r="K6"/>
  <c r="T6"/>
  <c r="CY6"/>
  <c r="DH6"/>
  <c r="GH6"/>
  <c r="D7"/>
  <c r="E7"/>
  <c r="J7"/>
  <c r="CF9" s="1"/>
  <c r="CC7"/>
  <c r="D5" s="1"/>
  <c r="CD7"/>
  <c r="CY7"/>
  <c r="CZ7"/>
  <c r="CZ21" s="1"/>
  <c r="CY22" s="1"/>
  <c r="GH7"/>
  <c r="E8"/>
  <c r="J8"/>
  <c r="V15" i="17" s="1"/>
  <c r="CF8" i="15"/>
  <c r="CG8"/>
  <c r="GH8"/>
  <c r="CG9"/>
  <c r="CV9"/>
  <c r="CW9"/>
  <c r="GH9"/>
  <c r="K10"/>
  <c r="K3" i="16" s="1"/>
  <c r="CE10" i="15"/>
  <c r="CM10"/>
  <c r="GH10"/>
  <c r="K11"/>
  <c r="K4" i="16" s="1"/>
  <c r="X11" i="15"/>
  <c r="CG11"/>
  <c r="CY11"/>
  <c r="CZ11" s="1"/>
  <c r="CZ12" s="1"/>
  <c r="DA25" s="1"/>
  <c r="CX26" s="1"/>
  <c r="GH11"/>
  <c r="B13"/>
  <c r="X13"/>
  <c r="CJ13"/>
  <c r="B14"/>
  <c r="K14"/>
  <c r="T14"/>
  <c r="BY14"/>
  <c r="CC14"/>
  <c r="D14" s="1"/>
  <c r="DV14"/>
  <c r="DV15"/>
  <c r="CD16"/>
  <c r="DV16"/>
  <c r="CC17"/>
  <c r="DF17"/>
  <c r="DG17"/>
  <c r="DH17"/>
  <c r="DJ17"/>
  <c r="DK17"/>
  <c r="DL17"/>
  <c r="DV17"/>
  <c r="FJ17"/>
  <c r="FG18" s="1"/>
  <c r="FN17"/>
  <c r="B18"/>
  <c r="CC18"/>
  <c r="D18" s="1"/>
  <c r="CE18"/>
  <c r="CF18"/>
  <c r="CZ18"/>
  <c r="CY19" s="1"/>
  <c r="DF18"/>
  <c r="DG18"/>
  <c r="DB18" s="1"/>
  <c r="DH18"/>
  <c r="DJ18"/>
  <c r="DK18"/>
  <c r="DL18"/>
  <c r="DV18"/>
  <c r="FH18"/>
  <c r="FJ18"/>
  <c r="FK18"/>
  <c r="CD19"/>
  <c r="DB19"/>
  <c r="DF19"/>
  <c r="DG19"/>
  <c r="DH19"/>
  <c r="DJ19"/>
  <c r="DK19"/>
  <c r="DL19"/>
  <c r="DV19"/>
  <c r="FG19"/>
  <c r="FH19"/>
  <c r="FN19"/>
  <c r="FK20" s="1"/>
  <c r="CC20"/>
  <c r="CD20"/>
  <c r="DC20"/>
  <c r="DD20"/>
  <c r="DE20"/>
  <c r="DF20"/>
  <c r="DG20"/>
  <c r="DB20" s="1"/>
  <c r="DH20"/>
  <c r="DJ20"/>
  <c r="DK20"/>
  <c r="DL20"/>
  <c r="DV20"/>
  <c r="FH20"/>
  <c r="FJ20"/>
  <c r="FQ20"/>
  <c r="CE21"/>
  <c r="CF21"/>
  <c r="CK21"/>
  <c r="DF21"/>
  <c r="DG21"/>
  <c r="DB21" s="1"/>
  <c r="DH21"/>
  <c r="DJ21"/>
  <c r="DK21"/>
  <c r="DL21"/>
  <c r="DV21"/>
  <c r="FG21"/>
  <c r="FH21"/>
  <c r="FN21"/>
  <c r="FQ21"/>
  <c r="CD22"/>
  <c r="CZ22"/>
  <c r="DF22"/>
  <c r="DG22"/>
  <c r="DB22" s="1"/>
  <c r="DH22"/>
  <c r="DJ22"/>
  <c r="DK22"/>
  <c r="DL22"/>
  <c r="DV22"/>
  <c r="FH22"/>
  <c r="FJ22"/>
  <c r="FG23" s="1"/>
  <c r="FK22"/>
  <c r="FQ22"/>
  <c r="CD23"/>
  <c r="CY23"/>
  <c r="DB23"/>
  <c r="DF23"/>
  <c r="DG23"/>
  <c r="DH23"/>
  <c r="DJ23"/>
  <c r="DK23"/>
  <c r="DL23"/>
  <c r="DV23"/>
  <c r="FH23"/>
  <c r="FN23"/>
  <c r="FK24" s="1"/>
  <c r="FQ23"/>
  <c r="DB24"/>
  <c r="DF24"/>
  <c r="DG24"/>
  <c r="DH24"/>
  <c r="DJ24"/>
  <c r="DK24"/>
  <c r="DL24"/>
  <c r="DV24"/>
  <c r="FH24"/>
  <c r="FJ24"/>
  <c r="FG25" s="1"/>
  <c r="FQ24"/>
  <c r="CC25"/>
  <c r="DB25"/>
  <c r="DF25"/>
  <c r="DG25"/>
  <c r="DH25"/>
  <c r="DJ25"/>
  <c r="DK25"/>
  <c r="DL25"/>
  <c r="DV25"/>
  <c r="FH25"/>
  <c r="FJ25"/>
  <c r="FG26" s="1"/>
  <c r="FL25"/>
  <c r="FQ25"/>
  <c r="CC26"/>
  <c r="D25" s="1"/>
  <c r="CK26"/>
  <c r="DB26"/>
  <c r="DF26"/>
  <c r="DG26"/>
  <c r="DH26"/>
  <c r="DJ26"/>
  <c r="DK26"/>
  <c r="DL26"/>
  <c r="DV26"/>
  <c r="FH26"/>
  <c r="FJ26"/>
  <c r="FL26"/>
  <c r="FP26"/>
  <c r="FR26" s="1"/>
  <c r="FQ26"/>
  <c r="B27"/>
  <c r="P27"/>
  <c r="N74" s="1"/>
  <c r="DF27"/>
  <c r="DG27"/>
  <c r="DB27" s="1"/>
  <c r="DB33" s="1"/>
  <c r="DH27"/>
  <c r="DJ27"/>
  <c r="DK27"/>
  <c r="DL27"/>
  <c r="DV27"/>
  <c r="FQ27"/>
  <c r="E28"/>
  <c r="F28"/>
  <c r="L28"/>
  <c r="M28"/>
  <c r="DB28"/>
  <c r="DF28"/>
  <c r="DG28"/>
  <c r="DH28"/>
  <c r="DJ28"/>
  <c r="DK28"/>
  <c r="DL28"/>
  <c r="DV28"/>
  <c r="FQ28"/>
  <c r="I29"/>
  <c r="I23" i="16" s="1"/>
  <c r="S29" i="15"/>
  <c r="T29"/>
  <c r="AA29" s="1"/>
  <c r="W29"/>
  <c r="AG29"/>
  <c r="AL29"/>
  <c r="AR29"/>
  <c r="BA29"/>
  <c r="BB29"/>
  <c r="BK29"/>
  <c r="BO29"/>
  <c r="DB29"/>
  <c r="DF29"/>
  <c r="DG29"/>
  <c r="DH29"/>
  <c r="DJ29"/>
  <c r="DK29"/>
  <c r="DL29"/>
  <c r="DV29"/>
  <c r="FQ29"/>
  <c r="I30"/>
  <c r="D5" i="20" s="1"/>
  <c r="S30" i="15"/>
  <c r="T30"/>
  <c r="H6" i="20" s="1"/>
  <c r="AB30" i="15"/>
  <c r="AH30"/>
  <c r="AN30"/>
  <c r="AR30"/>
  <c r="AV30"/>
  <c r="BC30"/>
  <c r="BM30"/>
  <c r="BQ30"/>
  <c r="CC30"/>
  <c r="CD30"/>
  <c r="DB30"/>
  <c r="DF30"/>
  <c r="DG30"/>
  <c r="DH30"/>
  <c r="DJ30"/>
  <c r="DK30"/>
  <c r="DL30"/>
  <c r="DV30"/>
  <c r="FQ30"/>
  <c r="I31"/>
  <c r="D6" i="20" s="1"/>
  <c r="S31" i="15"/>
  <c r="U31"/>
  <c r="AD31"/>
  <c r="AE31"/>
  <c r="AJ31"/>
  <c r="AK31"/>
  <c r="AP31"/>
  <c r="AQ31"/>
  <c r="DB31"/>
  <c r="DF31"/>
  <c r="DG31"/>
  <c r="DH31"/>
  <c r="DJ31"/>
  <c r="DK31"/>
  <c r="DL31"/>
  <c r="DV31"/>
  <c r="I32"/>
  <c r="D7" i="20" s="1"/>
  <c r="S32" i="15"/>
  <c r="T32"/>
  <c r="H8" i="20" s="1"/>
  <c r="U32" i="15"/>
  <c r="Z32"/>
  <c r="AA32"/>
  <c r="AB32"/>
  <c r="AF32"/>
  <c r="AG32"/>
  <c r="AH32"/>
  <c r="AL32"/>
  <c r="AM32"/>
  <c r="AN32"/>
  <c r="AR32"/>
  <c r="AS32"/>
  <c r="AV32"/>
  <c r="AW32"/>
  <c r="BA32"/>
  <c r="BD32"/>
  <c r="BG32"/>
  <c r="BH32"/>
  <c r="BN32"/>
  <c r="BO32"/>
  <c r="BP32"/>
  <c r="DV32"/>
  <c r="I33"/>
  <c r="D8" i="20" s="1"/>
  <c r="S33" i="15"/>
  <c r="U33"/>
  <c r="AB33"/>
  <c r="AC33"/>
  <c r="AH33"/>
  <c r="AI33"/>
  <c r="AN33"/>
  <c r="AO33"/>
  <c r="DV33"/>
  <c r="S34"/>
  <c r="T34"/>
  <c r="BM34" s="1"/>
  <c r="U34"/>
  <c r="I34" s="1"/>
  <c r="D9" i="20" s="1"/>
  <c r="AD34" i="15"/>
  <c r="AE34"/>
  <c r="AJ34"/>
  <c r="AK34"/>
  <c r="AP34"/>
  <c r="AQ34"/>
  <c r="AX34"/>
  <c r="DV34"/>
  <c r="S35"/>
  <c r="U35"/>
  <c r="I35" s="1"/>
  <c r="D10" i="20" s="1"/>
  <c r="S36" i="15"/>
  <c r="U36"/>
  <c r="I36" s="1"/>
  <c r="D11" i="20" s="1"/>
  <c r="CJ36" i="15"/>
  <c r="I37"/>
  <c r="D12" i="20" s="1"/>
  <c r="S37" i="15"/>
  <c r="T37"/>
  <c r="H13" i="20" s="1"/>
  <c r="U37" i="15"/>
  <c r="AD37"/>
  <c r="AE37"/>
  <c r="AJ37"/>
  <c r="AK37"/>
  <c r="AP37"/>
  <c r="AQ37"/>
  <c r="AX37"/>
  <c r="DB37"/>
  <c r="S38"/>
  <c r="U38"/>
  <c r="I38" s="1"/>
  <c r="D13" i="20" s="1"/>
  <c r="Z38" i="15"/>
  <c r="AA38"/>
  <c r="AF38"/>
  <c r="AG38"/>
  <c r="AL38"/>
  <c r="AM38"/>
  <c r="S39"/>
  <c r="T39"/>
  <c r="AA39" s="1"/>
  <c r="U39"/>
  <c r="I39" s="1"/>
  <c r="D14" i="20" s="1"/>
  <c r="AB39" i="15"/>
  <c r="AC39"/>
  <c r="AH39"/>
  <c r="AI39"/>
  <c r="AN39"/>
  <c r="AO39"/>
  <c r="EA39"/>
  <c r="S40"/>
  <c r="U40"/>
  <c r="I40" s="1"/>
  <c r="D15" i="20" s="1"/>
  <c r="AD40" i="15"/>
  <c r="AE40"/>
  <c r="AJ40"/>
  <c r="AK40"/>
  <c r="AP40"/>
  <c r="AQ40"/>
  <c r="DW40"/>
  <c r="DZ37" s="1"/>
  <c r="S9" i="2" s="1"/>
  <c r="EA40" i="15"/>
  <c r="S41"/>
  <c r="T41"/>
  <c r="Z41" s="1"/>
  <c r="U41"/>
  <c r="I41" s="1"/>
  <c r="D16" i="20" s="1"/>
  <c r="AU41" i="15"/>
  <c r="BG41"/>
  <c r="BP41"/>
  <c r="S42"/>
  <c r="T42"/>
  <c r="BN42" s="1"/>
  <c r="U42"/>
  <c r="I42" s="1"/>
  <c r="D17" i="20" s="1"/>
  <c r="AH42" i="15"/>
  <c r="BC42"/>
  <c r="S43"/>
  <c r="T43"/>
  <c r="Y43" s="1"/>
  <c r="U43"/>
  <c r="I43" s="1"/>
  <c r="D18" i="20" s="1"/>
  <c r="AD43" i="15"/>
  <c r="AE43"/>
  <c r="AJ43"/>
  <c r="AK43"/>
  <c r="AP43"/>
  <c r="AQ43"/>
  <c r="BT43"/>
  <c r="I44"/>
  <c r="D19" i="20" s="1"/>
  <c r="S44" i="15"/>
  <c r="T44"/>
  <c r="H20" i="20" s="1"/>
  <c r="U44" i="15"/>
  <c r="X44"/>
  <c r="Z44"/>
  <c r="AA44"/>
  <c r="AC44"/>
  <c r="AF44"/>
  <c r="AG44"/>
  <c r="AI44"/>
  <c r="AL44"/>
  <c r="AM44"/>
  <c r="AO44"/>
  <c r="AR44"/>
  <c r="AS44"/>
  <c r="AU44"/>
  <c r="AV44"/>
  <c r="AW44"/>
  <c r="BB44"/>
  <c r="BC44"/>
  <c r="BD44"/>
  <c r="BH44"/>
  <c r="BM44"/>
  <c r="BN44"/>
  <c r="BP44"/>
  <c r="I45"/>
  <c r="D20" i="20" s="1"/>
  <c r="S45" i="15"/>
  <c r="U45"/>
  <c r="AB45"/>
  <c r="AC45"/>
  <c r="AH45"/>
  <c r="AI45"/>
  <c r="AN45"/>
  <c r="AO45"/>
  <c r="I46"/>
  <c r="D21" i="20" s="1"/>
  <c r="S46" i="15"/>
  <c r="U46"/>
  <c r="AD46"/>
  <c r="AE46"/>
  <c r="AJ46"/>
  <c r="AK46"/>
  <c r="AP46"/>
  <c r="AQ46"/>
  <c r="CC46"/>
  <c r="CB46" s="1"/>
  <c r="CD46"/>
  <c r="CF46"/>
  <c r="CE46" s="1"/>
  <c r="CI46"/>
  <c r="CH46" s="1"/>
  <c r="DW46"/>
  <c r="DX54" s="1"/>
  <c r="EE46"/>
  <c r="EF46"/>
  <c r="FX46"/>
  <c r="S47"/>
  <c r="U47"/>
  <c r="I47" s="1"/>
  <c r="D22" i="20" s="1"/>
  <c r="CB47" i="15"/>
  <c r="CC47"/>
  <c r="CD47"/>
  <c r="CF47"/>
  <c r="CE47" s="1"/>
  <c r="CI47"/>
  <c r="CJ47"/>
  <c r="DW47"/>
  <c r="FX47"/>
  <c r="I48"/>
  <c r="D23" i="20" s="1"/>
  <c r="S48" i="15"/>
  <c r="T48"/>
  <c r="H24" i="20" s="1"/>
  <c r="U48" i="15"/>
  <c r="AC48"/>
  <c r="AW48"/>
  <c r="CC48"/>
  <c r="CD48"/>
  <c r="CF48"/>
  <c r="CI48"/>
  <c r="FH48"/>
  <c r="GN48"/>
  <c r="GO48"/>
  <c r="S49"/>
  <c r="T49"/>
  <c r="AA49" s="1"/>
  <c r="U49"/>
  <c r="I49" s="1"/>
  <c r="D24" i="20" s="1"/>
  <c r="AD49" i="15"/>
  <c r="AE49"/>
  <c r="AJ49"/>
  <c r="AK49"/>
  <c r="AP49"/>
  <c r="AQ49"/>
  <c r="AX49"/>
  <c r="CC49"/>
  <c r="CD49"/>
  <c r="CF49"/>
  <c r="CI49"/>
  <c r="DB49"/>
  <c r="DW49"/>
  <c r="DX49"/>
  <c r="FH49"/>
  <c r="S50"/>
  <c r="T50"/>
  <c r="H26" i="20" s="1"/>
  <c r="U50" i="15"/>
  <c r="I50" s="1"/>
  <c r="Z50"/>
  <c r="AA50"/>
  <c r="AF50"/>
  <c r="AG50"/>
  <c r="AL50"/>
  <c r="AM50"/>
  <c r="AR50"/>
  <c r="BG50"/>
  <c r="CC50"/>
  <c r="CD50"/>
  <c r="CF50"/>
  <c r="CI50"/>
  <c r="CJ50"/>
  <c r="DW50"/>
  <c r="DX50"/>
  <c r="DX51" s="1"/>
  <c r="FH50"/>
  <c r="FX50"/>
  <c r="FY50" s="1"/>
  <c r="FY51" s="1"/>
  <c r="FZ76" s="1"/>
  <c r="GN50"/>
  <c r="GO50"/>
  <c r="I51"/>
  <c r="D26" i="20" s="1"/>
  <c r="S51" i="15"/>
  <c r="T51"/>
  <c r="H27" i="20" s="1"/>
  <c r="U51" i="15"/>
  <c r="AB51"/>
  <c r="AC51"/>
  <c r="AH51"/>
  <c r="AI51"/>
  <c r="AN51"/>
  <c r="AO51"/>
  <c r="AR51"/>
  <c r="BC51"/>
  <c r="CC51"/>
  <c r="CD51"/>
  <c r="CF51"/>
  <c r="CI51"/>
  <c r="FH51"/>
  <c r="S52"/>
  <c r="T52"/>
  <c r="H28" i="20" s="1"/>
  <c r="U52" i="15"/>
  <c r="I52" s="1"/>
  <c r="D27" i="20" s="1"/>
  <c r="AD52" i="15"/>
  <c r="AE52"/>
  <c r="AJ52"/>
  <c r="AK52"/>
  <c r="AP52"/>
  <c r="AQ52"/>
  <c r="AX52"/>
  <c r="CC52"/>
  <c r="CD52"/>
  <c r="CF52"/>
  <c r="CI52"/>
  <c r="FH52"/>
  <c r="I53"/>
  <c r="D28" i="20" s="1"/>
  <c r="S53" i="15"/>
  <c r="T53"/>
  <c r="H29" i="20" s="1"/>
  <c r="U53" i="15"/>
  <c r="W53"/>
  <c r="Z53"/>
  <c r="AA53"/>
  <c r="AF53"/>
  <c r="AG53"/>
  <c r="AL53"/>
  <c r="AM53"/>
  <c r="AR53"/>
  <c r="AS53"/>
  <c r="AT53"/>
  <c r="AU53"/>
  <c r="BA53"/>
  <c r="BB53"/>
  <c r="BG53"/>
  <c r="BH53"/>
  <c r="BK53"/>
  <c r="BL53"/>
  <c r="BO53"/>
  <c r="BP53"/>
  <c r="CC53"/>
  <c r="CD53"/>
  <c r="CF53"/>
  <c r="CI53"/>
  <c r="CJ53"/>
  <c r="FH53"/>
  <c r="S54"/>
  <c r="T54"/>
  <c r="AC54" s="1"/>
  <c r="U54"/>
  <c r="I54" s="1"/>
  <c r="D29" i="20" s="1"/>
  <c r="AH54" i="15"/>
  <c r="AO54"/>
  <c r="AR54"/>
  <c r="BC54"/>
  <c r="BN54"/>
  <c r="BQ54"/>
  <c r="CC54"/>
  <c r="CD54"/>
  <c r="CF54"/>
  <c r="CI54"/>
  <c r="FH54"/>
  <c r="FH55" s="1"/>
  <c r="FH56" s="1"/>
  <c r="FY54"/>
  <c r="S55"/>
  <c r="T55"/>
  <c r="H31" i="20" s="1"/>
  <c r="U55" i="15"/>
  <c r="I55" s="1"/>
  <c r="AD55"/>
  <c r="AE55"/>
  <c r="AJ55"/>
  <c r="AK55"/>
  <c r="AP55"/>
  <c r="AQ55"/>
  <c r="AY55"/>
  <c r="CC55"/>
  <c r="CD55"/>
  <c r="CF55"/>
  <c r="CI55"/>
  <c r="DX55"/>
  <c r="EK55"/>
  <c r="FL55"/>
  <c r="GL55"/>
  <c r="I56"/>
  <c r="D31" i="20" s="1"/>
  <c r="S56" i="15"/>
  <c r="T56"/>
  <c r="H32" i="20" s="1"/>
  <c r="U56" i="15"/>
  <c r="W56"/>
  <c r="Z56"/>
  <c r="AA56"/>
  <c r="AB56"/>
  <c r="AF56"/>
  <c r="AG56"/>
  <c r="AH56"/>
  <c r="AL56"/>
  <c r="AM56"/>
  <c r="AN56"/>
  <c r="AR56"/>
  <c r="AT56"/>
  <c r="AV56"/>
  <c r="BA56"/>
  <c r="BC56"/>
  <c r="BG56"/>
  <c r="BM56"/>
  <c r="BO56"/>
  <c r="CC56"/>
  <c r="CD56"/>
  <c r="CF56"/>
  <c r="CI56"/>
  <c r="CJ56"/>
  <c r="DX56"/>
  <c r="EK56"/>
  <c r="FL56"/>
  <c r="FY56"/>
  <c r="GL56"/>
  <c r="I57"/>
  <c r="D32" i="20" s="1"/>
  <c r="S57" i="15"/>
  <c r="T57"/>
  <c r="AF57" s="1"/>
  <c r="U57"/>
  <c r="X57"/>
  <c r="AB57"/>
  <c r="AC57"/>
  <c r="AH57"/>
  <c r="AI57"/>
  <c r="AN57"/>
  <c r="AO57"/>
  <c r="AR57"/>
  <c r="BC57"/>
  <c r="CC57"/>
  <c r="CD57"/>
  <c r="CF57"/>
  <c r="CI57"/>
  <c r="FY57"/>
  <c r="S58"/>
  <c r="T58"/>
  <c r="AB58" s="1"/>
  <c r="U58"/>
  <c r="I58" s="1"/>
  <c r="D33" i="20" s="1"/>
  <c r="AC58" i="15"/>
  <c r="AD58"/>
  <c r="AE58"/>
  <c r="AJ58"/>
  <c r="AK58"/>
  <c r="AO58"/>
  <c r="AP58"/>
  <c r="AQ58"/>
  <c r="AX58"/>
  <c r="BF58"/>
  <c r="BN58"/>
  <c r="CC58"/>
  <c r="CD58"/>
  <c r="CF58"/>
  <c r="CI58"/>
  <c r="DX58"/>
  <c r="EK58"/>
  <c r="FY58"/>
  <c r="GL58"/>
  <c r="GY92" s="1"/>
  <c r="I59"/>
  <c r="D34" i="20" s="1"/>
  <c r="S59" i="15"/>
  <c r="T59"/>
  <c r="Z59" s="1"/>
  <c r="U59"/>
  <c r="AA59"/>
  <c r="AL59"/>
  <c r="AU59"/>
  <c r="BG59"/>
  <c r="BP59"/>
  <c r="CC59"/>
  <c r="CD59"/>
  <c r="CF59"/>
  <c r="CI59"/>
  <c r="CJ59"/>
  <c r="DX59"/>
  <c r="FY59"/>
  <c r="S60"/>
  <c r="T60"/>
  <c r="H36" i="20" s="1"/>
  <c r="U60" i="15"/>
  <c r="I60" s="1"/>
  <c r="CC60"/>
  <c r="CD60"/>
  <c r="CF60"/>
  <c r="CI60"/>
  <c r="CY60"/>
  <c r="DX60"/>
  <c r="I61"/>
  <c r="D36" i="20" s="1"/>
  <c r="S61" i="15"/>
  <c r="T61"/>
  <c r="Y61" s="1"/>
  <c r="U61"/>
  <c r="AD61"/>
  <c r="AE61"/>
  <c r="AF61"/>
  <c r="AJ61"/>
  <c r="AK61"/>
  <c r="AL61"/>
  <c r="AP61"/>
  <c r="AQ61"/>
  <c r="AR61"/>
  <c r="AX61"/>
  <c r="BE61"/>
  <c r="CC61"/>
  <c r="CD61"/>
  <c r="CF61"/>
  <c r="CI61"/>
  <c r="EL61"/>
  <c r="FY61"/>
  <c r="GM61"/>
  <c r="S62"/>
  <c r="T62"/>
  <c r="AW62" s="1"/>
  <c r="U62"/>
  <c r="I62" s="1"/>
  <c r="D37" i="20" s="1"/>
  <c r="Z62" i="15"/>
  <c r="AA62"/>
  <c r="AF62"/>
  <c r="AG62"/>
  <c r="AL62"/>
  <c r="AM62"/>
  <c r="AR62"/>
  <c r="CC62"/>
  <c r="CD62"/>
  <c r="CF62"/>
  <c r="CI62"/>
  <c r="CJ62"/>
  <c r="CY62"/>
  <c r="DX62"/>
  <c r="EL62"/>
  <c r="FY62"/>
  <c r="GM62"/>
  <c r="I63"/>
  <c r="D38" i="20" s="1"/>
  <c r="S63" i="15"/>
  <c r="T63"/>
  <c r="H39" i="20" s="1"/>
  <c r="U63" i="15"/>
  <c r="Z63"/>
  <c r="AA63"/>
  <c r="AB63"/>
  <c r="AC63"/>
  <c r="AF63"/>
  <c r="AG63"/>
  <c r="AH63"/>
  <c r="AI63"/>
  <c r="AL63"/>
  <c r="AM63"/>
  <c r="AN63"/>
  <c r="AO63"/>
  <c r="AR63"/>
  <c r="AS63"/>
  <c r="AT63"/>
  <c r="AW63"/>
  <c r="BA63"/>
  <c r="BC63"/>
  <c r="BK63"/>
  <c r="BQ63"/>
  <c r="BR63"/>
  <c r="CC63"/>
  <c r="CD63"/>
  <c r="CF63"/>
  <c r="CI63"/>
  <c r="DX63"/>
  <c r="EL63"/>
  <c r="FY63"/>
  <c r="GM63"/>
  <c r="I64"/>
  <c r="D39" i="20" s="1"/>
  <c r="S64" i="15"/>
  <c r="T64"/>
  <c r="H40" i="20" s="1"/>
  <c r="U64" i="15"/>
  <c r="Y64"/>
  <c r="AB64"/>
  <c r="AC64"/>
  <c r="AD64"/>
  <c r="AE64"/>
  <c r="AH64"/>
  <c r="AI64"/>
  <c r="AJ64"/>
  <c r="AK64"/>
  <c r="AN64"/>
  <c r="AO64"/>
  <c r="AP64"/>
  <c r="AQ64"/>
  <c r="AR64"/>
  <c r="AS64"/>
  <c r="AW64"/>
  <c r="AX64"/>
  <c r="AY64"/>
  <c r="BD64"/>
  <c r="BE64"/>
  <c r="BF64"/>
  <c r="BJ64"/>
  <c r="BM64"/>
  <c r="BN64"/>
  <c r="BT64"/>
  <c r="CC64"/>
  <c r="CD64"/>
  <c r="CF64"/>
  <c r="CI64"/>
  <c r="DX64"/>
  <c r="EL64"/>
  <c r="FY64"/>
  <c r="GM64"/>
  <c r="S65"/>
  <c r="T65"/>
  <c r="H41" i="20" s="1"/>
  <c r="U65" i="15"/>
  <c r="I65" s="1"/>
  <c r="CC65"/>
  <c r="CD65"/>
  <c r="CF65"/>
  <c r="CI65"/>
  <c r="CJ65"/>
  <c r="DX65"/>
  <c r="EL65"/>
  <c r="FY65"/>
  <c r="GM65"/>
  <c r="I66"/>
  <c r="S66"/>
  <c r="T66"/>
  <c r="H42" i="20" s="1"/>
  <c r="U66" i="15"/>
  <c r="AB66"/>
  <c r="AC66"/>
  <c r="AH66"/>
  <c r="AN66"/>
  <c r="AO66"/>
  <c r="AR66"/>
  <c r="AV66"/>
  <c r="AW66"/>
  <c r="BC66"/>
  <c r="BM66"/>
  <c r="BN66"/>
  <c r="BQ66"/>
  <c r="CC66"/>
  <c r="CD66"/>
  <c r="CF66"/>
  <c r="CI66"/>
  <c r="DX66"/>
  <c r="EJ66"/>
  <c r="EK66"/>
  <c r="EL66"/>
  <c r="FY66"/>
  <c r="GK66"/>
  <c r="GL66"/>
  <c r="GM66"/>
  <c r="S67"/>
  <c r="T67"/>
  <c r="U67"/>
  <c r="I67" s="1"/>
  <c r="AD67"/>
  <c r="AE67"/>
  <c r="AJ67"/>
  <c r="AK67"/>
  <c r="AP67"/>
  <c r="AQ67"/>
  <c r="AX67"/>
  <c r="BK67"/>
  <c r="CA67"/>
  <c r="CA68" s="1"/>
  <c r="CA69" s="1"/>
  <c r="CA70" s="1"/>
  <c r="CA71" s="1"/>
  <c r="CA72" s="1"/>
  <c r="CA73" s="1"/>
  <c r="CA74" s="1"/>
  <c r="CC67"/>
  <c r="CD67"/>
  <c r="CF67"/>
  <c r="CI67"/>
  <c r="DA67"/>
  <c r="DB67"/>
  <c r="DX67"/>
  <c r="EL67"/>
  <c r="FY67"/>
  <c r="GM67"/>
  <c r="I68"/>
  <c r="D43" i="20" s="1"/>
  <c r="S68" i="15"/>
  <c r="T68"/>
  <c r="W68" s="1"/>
  <c r="U68"/>
  <c r="X68"/>
  <c r="Z68"/>
  <c r="AA68"/>
  <c r="AF68"/>
  <c r="AG68"/>
  <c r="AI68"/>
  <c r="AL68"/>
  <c r="AM68"/>
  <c r="AR68"/>
  <c r="AV68"/>
  <c r="BC68"/>
  <c r="BM68"/>
  <c r="CC68"/>
  <c r="CD68"/>
  <c r="CF68"/>
  <c r="CI68"/>
  <c r="CJ68"/>
  <c r="CX68"/>
  <c r="DA68"/>
  <c r="DB68"/>
  <c r="DX68"/>
  <c r="EL68"/>
  <c r="FY68"/>
  <c r="GM68"/>
  <c r="S69"/>
  <c r="T69"/>
  <c r="Z69" s="1"/>
  <c r="U69"/>
  <c r="I69" s="1"/>
  <c r="D44" i="20" s="1"/>
  <c r="AB69" i="15"/>
  <c r="AC69"/>
  <c r="AG69"/>
  <c r="AH69"/>
  <c r="AI69"/>
  <c r="AM69"/>
  <c r="AN69"/>
  <c r="AO69"/>
  <c r="AS69"/>
  <c r="AV69"/>
  <c r="AW69"/>
  <c r="BQ69"/>
  <c r="BR69"/>
  <c r="CC69"/>
  <c r="CD69"/>
  <c r="CF69"/>
  <c r="CI69"/>
  <c r="CX69"/>
  <c r="DB69"/>
  <c r="DX69"/>
  <c r="EL69"/>
  <c r="FY69"/>
  <c r="GM69"/>
  <c r="I70"/>
  <c r="D45" i="20" s="1"/>
  <c r="S70" i="15"/>
  <c r="T70"/>
  <c r="H46" i="20" s="1"/>
  <c r="U70" i="15"/>
  <c r="AD70"/>
  <c r="AE70"/>
  <c r="AJ70"/>
  <c r="AK70"/>
  <c r="AP70"/>
  <c r="AQ70"/>
  <c r="AV70"/>
  <c r="BE70"/>
  <c r="BN70"/>
  <c r="CC70"/>
  <c r="CD70"/>
  <c r="CF70"/>
  <c r="CI70"/>
  <c r="CX70"/>
  <c r="DA70"/>
  <c r="DB70"/>
  <c r="DX70"/>
  <c r="EL70"/>
  <c r="FY70"/>
  <c r="GM70"/>
  <c r="CC71"/>
  <c r="CD71"/>
  <c r="CF71"/>
  <c r="CI71"/>
  <c r="CJ71"/>
  <c r="CX71"/>
  <c r="DA71"/>
  <c r="DB71"/>
  <c r="DX71"/>
  <c r="EL71"/>
  <c r="FY71"/>
  <c r="GM71"/>
  <c r="CC72"/>
  <c r="CD72"/>
  <c r="CF72"/>
  <c r="CI72"/>
  <c r="CX72"/>
  <c r="DB72"/>
  <c r="DX72"/>
  <c r="EL72"/>
  <c r="FY72"/>
  <c r="GM72"/>
  <c r="CC73"/>
  <c r="CD73"/>
  <c r="CF73"/>
  <c r="CI73"/>
  <c r="CX73"/>
  <c r="DA73"/>
  <c r="DB73"/>
  <c r="DX73"/>
  <c r="EL73"/>
  <c r="FY73"/>
  <c r="GM73"/>
  <c r="CC74"/>
  <c r="CD74"/>
  <c r="CF74"/>
  <c r="CI74"/>
  <c r="CJ74"/>
  <c r="CX74"/>
  <c r="DA74"/>
  <c r="EL74"/>
  <c r="FH74"/>
  <c r="FI74"/>
  <c r="GM74"/>
  <c r="CA75"/>
  <c r="CA76" s="1"/>
  <c r="CA77" s="1"/>
  <c r="CA78" s="1"/>
  <c r="CA79" s="1"/>
  <c r="CA80" s="1"/>
  <c r="CA81" s="1"/>
  <c r="CA82" s="1"/>
  <c r="CA83" s="1"/>
  <c r="CA84" s="1"/>
  <c r="CA85" s="1"/>
  <c r="CA86" s="1"/>
  <c r="CA87" s="1"/>
  <c r="CC75"/>
  <c r="CD75"/>
  <c r="CF75"/>
  <c r="CI75"/>
  <c r="CX75"/>
  <c r="EL75"/>
  <c r="GM75"/>
  <c r="CC76"/>
  <c r="CD76"/>
  <c r="CF76"/>
  <c r="CI76"/>
  <c r="CX76"/>
  <c r="DB76"/>
  <c r="EL76"/>
  <c r="GA76"/>
  <c r="GM76"/>
  <c r="CC77"/>
  <c r="CD77"/>
  <c r="CF77"/>
  <c r="CI77"/>
  <c r="CJ77"/>
  <c r="EL77"/>
  <c r="GM77"/>
  <c r="CC78"/>
  <c r="CD78"/>
  <c r="CF78"/>
  <c r="CI78"/>
  <c r="CC79"/>
  <c r="CD79"/>
  <c r="CF79"/>
  <c r="CI79"/>
  <c r="CC80"/>
  <c r="CD80"/>
  <c r="CF80"/>
  <c r="CI80"/>
  <c r="CJ80"/>
  <c r="CC81"/>
  <c r="CD81"/>
  <c r="CF81"/>
  <c r="CI81"/>
  <c r="CC82"/>
  <c r="CD82"/>
  <c r="CF82"/>
  <c r="CI82"/>
  <c r="EB82"/>
  <c r="GC82"/>
  <c r="GC88" s="1"/>
  <c r="CC83"/>
  <c r="CD83"/>
  <c r="CF83"/>
  <c r="CI83"/>
  <c r="CJ83"/>
  <c r="CC84"/>
  <c r="CD84"/>
  <c r="CF84"/>
  <c r="CI84"/>
  <c r="EG84"/>
  <c r="GH84"/>
  <c r="BR85"/>
  <c r="CC85"/>
  <c r="CD85"/>
  <c r="CF85"/>
  <c r="CI85"/>
  <c r="CC86"/>
  <c r="CD86"/>
  <c r="CF86"/>
  <c r="CI86"/>
  <c r="CJ86"/>
  <c r="CY86"/>
  <c r="EC86"/>
  <c r="GG86"/>
  <c r="CC87"/>
  <c r="CD87"/>
  <c r="CF87"/>
  <c r="CI87"/>
  <c r="EB87"/>
  <c r="GG87"/>
  <c r="CC88"/>
  <c r="CY88"/>
  <c r="EB88"/>
  <c r="FJ88"/>
  <c r="BZ89"/>
  <c r="CE89"/>
  <c r="CA90" s="1"/>
  <c r="CH89"/>
  <c r="CJ89" s="1"/>
  <c r="EB89"/>
  <c r="FJ89"/>
  <c r="DX90"/>
  <c r="EK90"/>
  <c r="EL90"/>
  <c r="EM90"/>
  <c r="ER92" s="1"/>
  <c r="ES92" s="1"/>
  <c r="EN90"/>
  <c r="FJ90"/>
  <c r="GL90"/>
  <c r="GM90"/>
  <c r="GX90"/>
  <c r="GY90"/>
  <c r="CB91"/>
  <c r="CC91"/>
  <c r="CD91"/>
  <c r="CF91"/>
  <c r="CH91"/>
  <c r="CI91"/>
  <c r="FJ91"/>
  <c r="CA92"/>
  <c r="CC92"/>
  <c r="CD92"/>
  <c r="CF92"/>
  <c r="CI92"/>
  <c r="CH92" s="1"/>
  <c r="CJ92"/>
  <c r="EQ92"/>
  <c r="EV92"/>
  <c r="FI92"/>
  <c r="FJ92"/>
  <c r="FI93" s="1"/>
  <c r="GQ92"/>
  <c r="GR92"/>
  <c r="GS92"/>
  <c r="GT92" s="1"/>
  <c r="GV92"/>
  <c r="GW92"/>
  <c r="GX92"/>
  <c r="GX98" s="1"/>
  <c r="GT119" s="1"/>
  <c r="CA93"/>
  <c r="CC93"/>
  <c r="CD93"/>
  <c r="CF93"/>
  <c r="CI93"/>
  <c r="DB93"/>
  <c r="FJ93"/>
  <c r="CA94"/>
  <c r="CA95" s="1"/>
  <c r="CA96" s="1"/>
  <c r="CA97" s="1"/>
  <c r="CA98" s="1"/>
  <c r="CA99" s="1"/>
  <c r="CA100" s="1"/>
  <c r="CA101" s="1"/>
  <c r="CA102" s="1"/>
  <c r="CA103" s="1"/>
  <c r="CA104" s="1"/>
  <c r="CA105" s="1"/>
  <c r="CA106" s="1"/>
  <c r="CA107" s="1"/>
  <c r="CA108" s="1"/>
  <c r="CA109" s="1"/>
  <c r="CA110" s="1"/>
  <c r="CA111" s="1"/>
  <c r="CA112" s="1"/>
  <c r="CA113" s="1"/>
  <c r="CA114" s="1"/>
  <c r="CA115" s="1"/>
  <c r="CA116" s="1"/>
  <c r="CA117" s="1"/>
  <c r="CA118" s="1"/>
  <c r="CA119" s="1"/>
  <c r="CA120" s="1"/>
  <c r="CA121" s="1"/>
  <c r="CA122" s="1"/>
  <c r="CA123" s="1"/>
  <c r="CA124" s="1"/>
  <c r="CA125" s="1"/>
  <c r="CA126" s="1"/>
  <c r="CA127" s="1"/>
  <c r="CA128" s="1"/>
  <c r="CA129" s="1"/>
  <c r="CA130" s="1"/>
  <c r="CA131" s="1"/>
  <c r="CA132" s="1"/>
  <c r="CC94"/>
  <c r="CD94"/>
  <c r="CF94"/>
  <c r="CI94"/>
  <c r="CX94"/>
  <c r="DA94"/>
  <c r="FI94"/>
  <c r="FJ94"/>
  <c r="FI95" s="1"/>
  <c r="GS94"/>
  <c r="GT94"/>
  <c r="CC95"/>
  <c r="CD95"/>
  <c r="CF95"/>
  <c r="CI95"/>
  <c r="CJ95"/>
  <c r="CX95"/>
  <c r="DA95"/>
  <c r="DB95"/>
  <c r="EU95"/>
  <c r="EV95"/>
  <c r="EW95"/>
  <c r="EX95" s="1"/>
  <c r="FJ95"/>
  <c r="GV95"/>
  <c r="GW95" s="1"/>
  <c r="GX95" s="1"/>
  <c r="GY95" s="1"/>
  <c r="CC96"/>
  <c r="CD96"/>
  <c r="CF96"/>
  <c r="CI96"/>
  <c r="CX96"/>
  <c r="FI96"/>
  <c r="FJ96"/>
  <c r="GS96"/>
  <c r="GT96"/>
  <c r="GX96"/>
  <c r="GX99" s="1"/>
  <c r="GY96"/>
  <c r="CC97"/>
  <c r="CD97"/>
  <c r="CF97"/>
  <c r="CI97"/>
  <c r="CX97"/>
  <c r="DA97"/>
  <c r="DB97"/>
  <c r="FI97"/>
  <c r="FJ97"/>
  <c r="CC98"/>
  <c r="CD98"/>
  <c r="CF98"/>
  <c r="CI98"/>
  <c r="CJ98"/>
  <c r="CX98"/>
  <c r="DA98"/>
  <c r="DB98"/>
  <c r="EO98"/>
  <c r="EP98"/>
  <c r="EQ98"/>
  <c r="ER98"/>
  <c r="ES98"/>
  <c r="ET98"/>
  <c r="FI98"/>
  <c r="FJ98"/>
  <c r="FI99" s="1"/>
  <c r="GP98"/>
  <c r="GQ98"/>
  <c r="GR98"/>
  <c r="GS98"/>
  <c r="GT98"/>
  <c r="GU98"/>
  <c r="CC99"/>
  <c r="CD99"/>
  <c r="CF99"/>
  <c r="CI99"/>
  <c r="CV99"/>
  <c r="CX99"/>
  <c r="DA99"/>
  <c r="DB99"/>
  <c r="EO99"/>
  <c r="FJ99"/>
  <c r="FI100" s="1"/>
  <c r="GP99"/>
  <c r="GY99"/>
  <c r="CC100"/>
  <c r="CD100"/>
  <c r="CF100"/>
  <c r="CI100"/>
  <c r="CV100"/>
  <c r="CX100"/>
  <c r="FJ100"/>
  <c r="CC101"/>
  <c r="CD101"/>
  <c r="CF101"/>
  <c r="CI101"/>
  <c r="CJ101"/>
  <c r="CX101"/>
  <c r="DA101"/>
  <c r="DB101"/>
  <c r="GT101"/>
  <c r="CC102"/>
  <c r="CD102"/>
  <c r="CF102"/>
  <c r="CI102"/>
  <c r="CV102"/>
  <c r="CX102"/>
  <c r="DA102"/>
  <c r="DB102"/>
  <c r="CC103"/>
  <c r="CD103"/>
  <c r="CF103"/>
  <c r="CI103"/>
  <c r="CU103"/>
  <c r="CV103"/>
  <c r="GS103"/>
  <c r="GS106" s="1"/>
  <c r="CC104"/>
  <c r="CD104"/>
  <c r="CF104"/>
  <c r="CI104"/>
  <c r="CJ104"/>
  <c r="CU104"/>
  <c r="CC105"/>
  <c r="CD105"/>
  <c r="CF105"/>
  <c r="CI105"/>
  <c r="CC106"/>
  <c r="CD106"/>
  <c r="CF106"/>
  <c r="CI106"/>
  <c r="GT106"/>
  <c r="CC107"/>
  <c r="CD107"/>
  <c r="CF107"/>
  <c r="CI107"/>
  <c r="CJ107"/>
  <c r="GS107"/>
  <c r="GP119" s="1"/>
  <c r="CC108"/>
  <c r="CD108"/>
  <c r="CF108"/>
  <c r="CI108"/>
  <c r="CC109"/>
  <c r="CD109"/>
  <c r="CF109"/>
  <c r="CI109"/>
  <c r="EV109"/>
  <c r="CC110"/>
  <c r="CD110"/>
  <c r="CF110"/>
  <c r="CI110"/>
  <c r="CJ110"/>
  <c r="CC111"/>
  <c r="CD111"/>
  <c r="CF111"/>
  <c r="CI111"/>
  <c r="CC112"/>
  <c r="CD112"/>
  <c r="CF112"/>
  <c r="CI112"/>
  <c r="CC113"/>
  <c r="CD113"/>
  <c r="CF113"/>
  <c r="CI113"/>
  <c r="CJ113"/>
  <c r="CC114"/>
  <c r="CD114"/>
  <c r="CF114"/>
  <c r="CI114"/>
  <c r="CC115"/>
  <c r="CD115"/>
  <c r="CF115"/>
  <c r="CI115"/>
  <c r="CC116"/>
  <c r="CD116"/>
  <c r="CF116"/>
  <c r="CI116"/>
  <c r="CJ116"/>
  <c r="CC117"/>
  <c r="CD117"/>
  <c r="CF117"/>
  <c r="CI117"/>
  <c r="CC118"/>
  <c r="CD118"/>
  <c r="CF118"/>
  <c r="CI118"/>
  <c r="CC119"/>
  <c r="CD119"/>
  <c r="CF119"/>
  <c r="CI119"/>
  <c r="CJ119"/>
  <c r="CC120"/>
  <c r="CD120"/>
  <c r="CF120"/>
  <c r="CI120"/>
  <c r="CC121"/>
  <c r="CD121"/>
  <c r="CF121"/>
  <c r="CI121"/>
  <c r="CC122"/>
  <c r="CD122"/>
  <c r="CF122"/>
  <c r="CI122"/>
  <c r="CJ122"/>
  <c r="CC123"/>
  <c r="CD123"/>
  <c r="CF123"/>
  <c r="CI123"/>
  <c r="CC124"/>
  <c r="CD124"/>
  <c r="CF124"/>
  <c r="CI124"/>
  <c r="CC125"/>
  <c r="CD125"/>
  <c r="CF125"/>
  <c r="CI125"/>
  <c r="CJ125"/>
  <c r="CC126"/>
  <c r="CD126"/>
  <c r="CF126"/>
  <c r="CI126"/>
  <c r="CC127"/>
  <c r="CD127"/>
  <c r="CF127"/>
  <c r="CI127"/>
  <c r="CC128"/>
  <c r="CD128"/>
  <c r="CF128"/>
  <c r="CI128"/>
  <c r="CJ128"/>
  <c r="CC129"/>
  <c r="CD129"/>
  <c r="CF129"/>
  <c r="CI129"/>
  <c r="CC130"/>
  <c r="CD130"/>
  <c r="CF130"/>
  <c r="CI130"/>
  <c r="CC131"/>
  <c r="CD131"/>
  <c r="CF131"/>
  <c r="CI131"/>
  <c r="CJ131"/>
  <c r="CC132"/>
  <c r="CD132"/>
  <c r="CF132"/>
  <c r="CI132"/>
  <c r="BZ133"/>
  <c r="CE133"/>
  <c r="CH133"/>
  <c r="CJ133"/>
  <c r="CA134"/>
  <c r="CB139"/>
  <c r="CC139"/>
  <c r="CB140"/>
  <c r="CC140"/>
  <c r="CB141"/>
  <c r="CC141"/>
  <c r="CB142"/>
  <c r="CC142"/>
  <c r="C5" i="19"/>
  <c r="E5"/>
  <c r="F5"/>
  <c r="G5"/>
  <c r="H5"/>
  <c r="I5"/>
  <c r="J5"/>
  <c r="K5"/>
  <c r="L5"/>
  <c r="M5"/>
  <c r="N5"/>
  <c r="O5"/>
  <c r="P5"/>
  <c r="Q5"/>
  <c r="R5"/>
  <c r="S5"/>
  <c r="T5"/>
  <c r="U5"/>
  <c r="V5"/>
  <c r="X5"/>
  <c r="Y5"/>
  <c r="D7"/>
  <c r="D15" s="1"/>
  <c r="G11"/>
  <c r="G13" s="1"/>
  <c r="D17"/>
  <c r="D19"/>
  <c r="D21"/>
  <c r="B29"/>
  <c r="D29"/>
  <c r="D38"/>
  <c r="D42"/>
  <c r="C54"/>
  <c r="D56"/>
  <c r="H57"/>
  <c r="H61" s="1"/>
  <c r="D64"/>
  <c r="H64"/>
  <c r="H65"/>
  <c r="D74"/>
  <c r="D78"/>
  <c r="D2" i="16"/>
  <c r="H4"/>
  <c r="S4"/>
  <c r="C1" s="1"/>
  <c r="H5"/>
  <c r="K5"/>
  <c r="H6"/>
  <c r="K6"/>
  <c r="H7"/>
  <c r="F22" s="1"/>
  <c r="K7"/>
  <c r="O7" s="1"/>
  <c r="T7"/>
  <c r="K8"/>
  <c r="T8"/>
  <c r="H9"/>
  <c r="K9"/>
  <c r="H10"/>
  <c r="K12"/>
  <c r="K13"/>
  <c r="K14"/>
  <c r="K15"/>
  <c r="K16"/>
  <c r="K17"/>
  <c r="K18"/>
  <c r="K19"/>
  <c r="K20"/>
  <c r="B21"/>
  <c r="P21"/>
  <c r="E22"/>
  <c r="L22"/>
  <c r="M22"/>
  <c r="C23"/>
  <c r="D23"/>
  <c r="F23"/>
  <c r="G23"/>
  <c r="H23"/>
  <c r="J23"/>
  <c r="K23"/>
  <c r="N23"/>
  <c r="O23"/>
  <c r="R23"/>
  <c r="C24"/>
  <c r="D24"/>
  <c r="G24"/>
  <c r="H24"/>
  <c r="I24"/>
  <c r="J24"/>
  <c r="K24"/>
  <c r="N24"/>
  <c r="O24"/>
  <c r="R24"/>
  <c r="C25"/>
  <c r="D25"/>
  <c r="G25"/>
  <c r="H25"/>
  <c r="I25"/>
  <c r="J25"/>
  <c r="K25"/>
  <c r="N25"/>
  <c r="O25"/>
  <c r="C26"/>
  <c r="D26"/>
  <c r="G26"/>
  <c r="H26"/>
  <c r="I26"/>
  <c r="J26"/>
  <c r="K26"/>
  <c r="N26"/>
  <c r="O26"/>
  <c r="R26"/>
  <c r="C27"/>
  <c r="D27"/>
  <c r="G27"/>
  <c r="H27"/>
  <c r="I27"/>
  <c r="J27"/>
  <c r="K27"/>
  <c r="N27"/>
  <c r="O27"/>
  <c r="C28"/>
  <c r="D28"/>
  <c r="G28"/>
  <c r="H28"/>
  <c r="I28"/>
  <c r="J28"/>
  <c r="K28"/>
  <c r="N28"/>
  <c r="O28"/>
  <c r="C29"/>
  <c r="D29"/>
  <c r="G29"/>
  <c r="H29"/>
  <c r="I29"/>
  <c r="J29"/>
  <c r="K29"/>
  <c r="N29"/>
  <c r="O29"/>
  <c r="C30"/>
  <c r="D30"/>
  <c r="G30"/>
  <c r="H30"/>
  <c r="I30"/>
  <c r="J30"/>
  <c r="K30"/>
  <c r="N30"/>
  <c r="O30"/>
  <c r="C31"/>
  <c r="D31"/>
  <c r="G31"/>
  <c r="H31"/>
  <c r="I31"/>
  <c r="J31"/>
  <c r="K31"/>
  <c r="N31"/>
  <c r="O31"/>
  <c r="C32"/>
  <c r="D32"/>
  <c r="G32"/>
  <c r="H32"/>
  <c r="I32"/>
  <c r="J32"/>
  <c r="K32"/>
  <c r="N32"/>
  <c r="O32"/>
  <c r="C33"/>
  <c r="D33"/>
  <c r="G33"/>
  <c r="H33"/>
  <c r="I33"/>
  <c r="J33"/>
  <c r="K33"/>
  <c r="N33"/>
  <c r="O33"/>
  <c r="C34"/>
  <c r="D34"/>
  <c r="G34"/>
  <c r="H34"/>
  <c r="J34"/>
  <c r="K34"/>
  <c r="N34"/>
  <c r="O34"/>
  <c r="C35"/>
  <c r="D35"/>
  <c r="F35"/>
  <c r="G35"/>
  <c r="H35"/>
  <c r="I35"/>
  <c r="J35"/>
  <c r="K35"/>
  <c r="N35"/>
  <c r="O35"/>
  <c r="R35"/>
  <c r="C36"/>
  <c r="D36"/>
  <c r="G36"/>
  <c r="H36"/>
  <c r="I36"/>
  <c r="J36"/>
  <c r="K36"/>
  <c r="L36"/>
  <c r="N36"/>
  <c r="O36"/>
  <c r="R36"/>
  <c r="C37"/>
  <c r="D37"/>
  <c r="G37"/>
  <c r="H37"/>
  <c r="I37"/>
  <c r="J37"/>
  <c r="K37"/>
  <c r="N37"/>
  <c r="O37"/>
  <c r="C38"/>
  <c r="D38"/>
  <c r="G38"/>
  <c r="H38"/>
  <c r="I38"/>
  <c r="J38"/>
  <c r="K38"/>
  <c r="N38"/>
  <c r="O38"/>
  <c r="R38"/>
  <c r="C39"/>
  <c r="D39"/>
  <c r="G39"/>
  <c r="H39"/>
  <c r="J39"/>
  <c r="K39"/>
  <c r="N39"/>
  <c r="O39"/>
  <c r="C40"/>
  <c r="D40"/>
  <c r="G40"/>
  <c r="H40"/>
  <c r="J40"/>
  <c r="K40"/>
  <c r="N40"/>
  <c r="O40"/>
  <c r="C41"/>
  <c r="D41"/>
  <c r="F41"/>
  <c r="G41"/>
  <c r="H41"/>
  <c r="J41"/>
  <c r="K41"/>
  <c r="N41"/>
  <c r="O41"/>
  <c r="C42"/>
  <c r="D42"/>
  <c r="G42"/>
  <c r="H42"/>
  <c r="I42"/>
  <c r="J42"/>
  <c r="K42"/>
  <c r="N42"/>
  <c r="O42"/>
  <c r="C43"/>
  <c r="D43"/>
  <c r="F43"/>
  <c r="G43"/>
  <c r="H43"/>
  <c r="I43"/>
  <c r="J43"/>
  <c r="K43"/>
  <c r="N43"/>
  <c r="O43"/>
  <c r="C44"/>
  <c r="D44"/>
  <c r="G44"/>
  <c r="H44"/>
  <c r="J44"/>
  <c r="K44"/>
  <c r="L44"/>
  <c r="N44"/>
  <c r="O44"/>
  <c r="C45"/>
  <c r="D45"/>
  <c r="G45"/>
  <c r="H45"/>
  <c r="J45"/>
  <c r="K45"/>
  <c r="N45"/>
  <c r="O45"/>
  <c r="C46"/>
  <c r="D46"/>
  <c r="G46"/>
  <c r="H46"/>
  <c r="I46"/>
  <c r="J46"/>
  <c r="K46"/>
  <c r="N46"/>
  <c r="O46"/>
  <c r="C47"/>
  <c r="D47"/>
  <c r="G47"/>
  <c r="H47"/>
  <c r="J47"/>
  <c r="K47"/>
  <c r="N47"/>
  <c r="O47"/>
  <c r="R47"/>
  <c r="C48"/>
  <c r="D48"/>
  <c r="F48"/>
  <c r="G48"/>
  <c r="H48"/>
  <c r="J48"/>
  <c r="K48"/>
  <c r="N48"/>
  <c r="O48"/>
  <c r="R48"/>
  <c r="C49"/>
  <c r="D49"/>
  <c r="G49"/>
  <c r="H49"/>
  <c r="J49"/>
  <c r="K49"/>
  <c r="L49"/>
  <c r="N49"/>
  <c r="O49"/>
  <c r="C50"/>
  <c r="D50"/>
  <c r="G50"/>
  <c r="H50"/>
  <c r="I50"/>
  <c r="J50"/>
  <c r="K50"/>
  <c r="L50"/>
  <c r="N50"/>
  <c r="O50"/>
  <c r="R50"/>
  <c r="C51"/>
  <c r="D51"/>
  <c r="G51"/>
  <c r="H51"/>
  <c r="I51"/>
  <c r="J51"/>
  <c r="K51"/>
  <c r="L51"/>
  <c r="N51"/>
  <c r="O51"/>
  <c r="R51"/>
  <c r="C52"/>
  <c r="D52"/>
  <c r="G52"/>
  <c r="H52"/>
  <c r="J52"/>
  <c r="K52"/>
  <c r="N52"/>
  <c r="O52"/>
  <c r="R52"/>
  <c r="C53"/>
  <c r="D53"/>
  <c r="G53"/>
  <c r="H53"/>
  <c r="I53"/>
  <c r="J53"/>
  <c r="K53"/>
  <c r="N53"/>
  <c r="O53"/>
  <c r="C54"/>
  <c r="D54"/>
  <c r="G54"/>
  <c r="H54"/>
  <c r="J54"/>
  <c r="K54"/>
  <c r="N54"/>
  <c r="O54"/>
  <c r="C55"/>
  <c r="D55"/>
  <c r="F55"/>
  <c r="G55"/>
  <c r="H55"/>
  <c r="J55"/>
  <c r="K55"/>
  <c r="N55"/>
  <c r="O55"/>
  <c r="R55"/>
  <c r="C56"/>
  <c r="D56"/>
  <c r="G56"/>
  <c r="H56"/>
  <c r="I56"/>
  <c r="J56"/>
  <c r="K56"/>
  <c r="N56"/>
  <c r="O56"/>
  <c r="R56"/>
  <c r="C57"/>
  <c r="D57"/>
  <c r="G57"/>
  <c r="H57"/>
  <c r="J57"/>
  <c r="K57"/>
  <c r="L57"/>
  <c r="N57"/>
  <c r="O57"/>
  <c r="R57"/>
  <c r="C58"/>
  <c r="D58"/>
  <c r="G58"/>
  <c r="H58"/>
  <c r="J58"/>
  <c r="K58"/>
  <c r="N58"/>
  <c r="O58"/>
  <c r="R58"/>
  <c r="C59"/>
  <c r="D59"/>
  <c r="G59"/>
  <c r="H59"/>
  <c r="J59"/>
  <c r="K59"/>
  <c r="N59"/>
  <c r="O59"/>
  <c r="C60"/>
  <c r="D60"/>
  <c r="F60"/>
  <c r="G60"/>
  <c r="H60"/>
  <c r="J60"/>
  <c r="K60"/>
  <c r="N60"/>
  <c r="O60"/>
  <c r="R60"/>
  <c r="C61"/>
  <c r="D61"/>
  <c r="G61"/>
  <c r="H61"/>
  <c r="I61"/>
  <c r="J61"/>
  <c r="K61"/>
  <c r="N61"/>
  <c r="O61"/>
  <c r="R61"/>
  <c r="C62"/>
  <c r="D62"/>
  <c r="G62"/>
  <c r="H62"/>
  <c r="I62"/>
  <c r="J62"/>
  <c r="K62"/>
  <c r="N62"/>
  <c r="O62"/>
  <c r="R62"/>
  <c r="C63"/>
  <c r="D63"/>
  <c r="G63"/>
  <c r="H63"/>
  <c r="J63"/>
  <c r="K63"/>
  <c r="L63"/>
  <c r="N63"/>
  <c r="O63"/>
  <c r="R63"/>
  <c r="C64"/>
  <c r="D64"/>
  <c r="G64"/>
  <c r="H64"/>
  <c r="J64"/>
  <c r="K64"/>
  <c r="N64"/>
  <c r="O64"/>
  <c r="R64"/>
  <c r="B7" i="27"/>
  <c r="Q7" s="1"/>
  <c r="E7"/>
  <c r="B8"/>
  <c r="C11" s="1"/>
  <c r="E8"/>
  <c r="B9"/>
  <c r="Y9"/>
  <c r="U10" s="1"/>
  <c r="B10"/>
  <c r="C13" s="1"/>
  <c r="AA21"/>
  <c r="E6" s="1"/>
  <c r="Q30"/>
  <c r="AA45"/>
  <c r="Q55"/>
  <c r="AA71"/>
  <c r="Q83"/>
  <c r="AA92"/>
  <c r="E9" s="1"/>
  <c r="Q103"/>
  <c r="AA119"/>
  <c r="E10" s="1"/>
  <c r="Q130"/>
  <c r="AA146"/>
  <c r="E11" s="1"/>
  <c r="Q156"/>
  <c r="AA172"/>
  <c r="E12" s="1"/>
  <c r="Q183"/>
  <c r="AA199"/>
  <c r="E13" s="1"/>
  <c r="BH65" i="15" l="1"/>
  <c r="AF65"/>
  <c r="AS60"/>
  <c r="AL37"/>
  <c r="F22" i="23"/>
  <c r="F39" i="16"/>
  <c r="F33"/>
  <c r="L30"/>
  <c r="F29"/>
  <c r="D58" i="19"/>
  <c r="D44"/>
  <c r="D36"/>
  <c r="D26"/>
  <c r="GL98" i="15"/>
  <c r="GM98" s="1"/>
  <c r="BS70"/>
  <c r="BF70"/>
  <c r="AX70"/>
  <c r="BD69"/>
  <c r="AA69"/>
  <c r="BP68"/>
  <c r="BB68"/>
  <c r="AO68"/>
  <c r="BR66"/>
  <c r="BD66"/>
  <c r="AS66"/>
  <c r="AI66"/>
  <c r="X66"/>
  <c r="BK65"/>
  <c r="AU65"/>
  <c r="AG65"/>
  <c r="BS64"/>
  <c r="BI64"/>
  <c r="BC64"/>
  <c r="AV64"/>
  <c r="X64"/>
  <c r="BD63"/>
  <c r="AV63"/>
  <c r="W63"/>
  <c r="BK61"/>
  <c r="Z61"/>
  <c r="BD60"/>
  <c r="BM58"/>
  <c r="AS58"/>
  <c r="AV57"/>
  <c r="BP56"/>
  <c r="BH56"/>
  <c r="BB56"/>
  <c r="AU56"/>
  <c r="AO56"/>
  <c r="AI56"/>
  <c r="AC56"/>
  <c r="X56"/>
  <c r="BA55"/>
  <c r="BL51"/>
  <c r="AU51"/>
  <c r="AL51"/>
  <c r="AW50"/>
  <c r="AH50"/>
  <c r="BK49"/>
  <c r="AO48"/>
  <c r="T47"/>
  <c r="T46"/>
  <c r="T45"/>
  <c r="BO44"/>
  <c r="BG44"/>
  <c r="BA44"/>
  <c r="AT44"/>
  <c r="AN44"/>
  <c r="AH44"/>
  <c r="AB44"/>
  <c r="W44"/>
  <c r="AR43"/>
  <c r="AO42"/>
  <c r="AA41"/>
  <c r="T40"/>
  <c r="AS39"/>
  <c r="T38"/>
  <c r="AB38" s="1"/>
  <c r="BE37"/>
  <c r="AF37"/>
  <c r="T36"/>
  <c r="T35"/>
  <c r="BP35" s="1"/>
  <c r="T33"/>
  <c r="CC32"/>
  <c r="BM32"/>
  <c r="BC32"/>
  <c r="AT32"/>
  <c r="W32"/>
  <c r="AK76"/>
  <c r="AO3" i="17" s="1"/>
  <c r="T31" i="15"/>
  <c r="BN30"/>
  <c r="AW30"/>
  <c r="AO30"/>
  <c r="AC30"/>
  <c r="BL29"/>
  <c r="AT29"/>
  <c r="Z29"/>
  <c r="CC24"/>
  <c r="F24" s="1"/>
  <c r="CC22"/>
  <c r="D22" s="1"/>
  <c r="CC21"/>
  <c r="CC16"/>
  <c r="CF14"/>
  <c r="H26" s="1"/>
  <c r="CC13"/>
  <c r="CC12"/>
  <c r="CF10"/>
  <c r="K4"/>
  <c r="L13" i="17"/>
  <c r="M8"/>
  <c r="D58" i="13"/>
  <c r="D44"/>
  <c r="D46" s="1"/>
  <c r="P29" i="14"/>
  <c r="F14" i="15"/>
  <c r="C9" i="27"/>
  <c r="D79" i="19"/>
  <c r="D65"/>
  <c r="D62"/>
  <c r="D27"/>
  <c r="BI70" i="15"/>
  <c r="AY70"/>
  <c r="AR70"/>
  <c r="AN70"/>
  <c r="AH70"/>
  <c r="X70"/>
  <c r="BL65"/>
  <c r="BA65"/>
  <c r="AM65"/>
  <c r="W65"/>
  <c r="BN60"/>
  <c r="AC60"/>
  <c r="BI55"/>
  <c r="AR55"/>
  <c r="AL55"/>
  <c r="AF55"/>
  <c r="Z55"/>
  <c r="BQ51"/>
  <c r="AV51"/>
  <c r="AF51"/>
  <c r="X51"/>
  <c r="BB43"/>
  <c r="Z43"/>
  <c r="AV39"/>
  <c r="AM39"/>
  <c r="BK37"/>
  <c r="Z37"/>
  <c r="AC19" i="24"/>
  <c r="AC22" s="1"/>
  <c r="GY98" i="15"/>
  <c r="GT118" s="1"/>
  <c r="AS65"/>
  <c r="R59" i="16"/>
  <c r="R54"/>
  <c r="D63" i="19"/>
  <c r="D40"/>
  <c r="BM70" i="15"/>
  <c r="BC70"/>
  <c r="AS70"/>
  <c r="AO70"/>
  <c r="AI70"/>
  <c r="AC70"/>
  <c r="BH68"/>
  <c r="AU68"/>
  <c r="AC68"/>
  <c r="BP65"/>
  <c r="BB65"/>
  <c r="AR65"/>
  <c r="AA65"/>
  <c r="AR60"/>
  <c r="AY58"/>
  <c r="AI58"/>
  <c r="BQ57"/>
  <c r="BN56"/>
  <c r="BD56"/>
  <c r="AW56"/>
  <c r="AS56"/>
  <c r="BK55"/>
  <c r="AS55"/>
  <c r="AM55"/>
  <c r="AG55"/>
  <c r="AA55"/>
  <c r="BB51"/>
  <c r="Z51"/>
  <c r="BN48"/>
  <c r="BE43"/>
  <c r="AR37"/>
  <c r="BR30"/>
  <c r="BD30"/>
  <c r="AS30"/>
  <c r="AI30"/>
  <c r="X30"/>
  <c r="CC23"/>
  <c r="CC19"/>
  <c r="F18"/>
  <c r="CC15"/>
  <c r="CC10"/>
  <c r="F9" s="1"/>
  <c r="K5"/>
  <c r="FJ51"/>
  <c r="FG52" s="1"/>
  <c r="FN47"/>
  <c r="FK48" s="1"/>
  <c r="FJ48"/>
  <c r="FG49" s="1"/>
  <c r="FJ49"/>
  <c r="FG50" s="1"/>
  <c r="Y34" i="26"/>
  <c r="U35" s="1"/>
  <c r="Y39"/>
  <c r="U40" s="1"/>
  <c r="Y40"/>
  <c r="Y29"/>
  <c r="Y33"/>
  <c r="U34" s="1"/>
  <c r="Y36"/>
  <c r="U37" s="1"/>
  <c r="Y35"/>
  <c r="U36" s="1"/>
  <c r="Y38"/>
  <c r="U39" s="1"/>
  <c r="Y32"/>
  <c r="U33" s="1"/>
  <c r="Y37"/>
  <c r="U38" s="1"/>
  <c r="AB23" i="23"/>
  <c r="AB7"/>
  <c r="AB11"/>
  <c r="AB16"/>
  <c r="H37" i="20"/>
  <c r="L62" i="16"/>
  <c r="L60"/>
  <c r="L56"/>
  <c r="F54"/>
  <c r="F47"/>
  <c r="R42"/>
  <c r="L26"/>
  <c r="BL61" i="15"/>
  <c r="AY61"/>
  <c r="AM61"/>
  <c r="AA61"/>
  <c r="AH60"/>
  <c r="BA50"/>
  <c r="BQ48"/>
  <c r="AR48"/>
  <c r="AB46"/>
  <c r="Z45"/>
  <c r="AL41"/>
  <c r="BL37"/>
  <c r="AY37"/>
  <c r="AM37"/>
  <c r="AA37"/>
  <c r="CD33"/>
  <c r="DA24"/>
  <c r="CX25" s="1"/>
  <c r="FP23"/>
  <c r="FR23" s="1"/>
  <c r="H4" i="11"/>
  <c r="Q55" i="26"/>
  <c r="H17" i="20"/>
  <c r="C23" i="2"/>
  <c r="L11" i="17"/>
  <c r="M11" s="1"/>
  <c r="O22" i="14"/>
  <c r="AX8"/>
  <c r="F64" i="16"/>
  <c r="L59"/>
  <c r="F58"/>
  <c r="L54"/>
  <c r="R53"/>
  <c r="F52"/>
  <c r="F51"/>
  <c r="F50"/>
  <c r="L47"/>
  <c r="R46"/>
  <c r="R45"/>
  <c r="F45"/>
  <c r="L43"/>
  <c r="L42"/>
  <c r="L40"/>
  <c r="L38"/>
  <c r="R37"/>
  <c r="F37"/>
  <c r="L34"/>
  <c r="L32"/>
  <c r="R31"/>
  <c r="F31"/>
  <c r="D23" i="19"/>
  <c r="AB70" i="15"/>
  <c r="BN68"/>
  <c r="BD68"/>
  <c r="AW68"/>
  <c r="AS68"/>
  <c r="BS61"/>
  <c r="BI61"/>
  <c r="BA61"/>
  <c r="AT61"/>
  <c r="W61"/>
  <c r="BQ60"/>
  <c r="AW60"/>
  <c r="AI60"/>
  <c r="BH59"/>
  <c r="AM59"/>
  <c r="BL55"/>
  <c r="BE55"/>
  <c r="AT55"/>
  <c r="BM52"/>
  <c r="BR51"/>
  <c r="BD51"/>
  <c r="AW51"/>
  <c r="AS51"/>
  <c r="AM51"/>
  <c r="AG51"/>
  <c r="AA51"/>
  <c r="BN50"/>
  <c r="BC50"/>
  <c r="AT50"/>
  <c r="W50"/>
  <c r="DA49"/>
  <c r="BE49"/>
  <c r="AR49"/>
  <c r="AL49"/>
  <c r="AF49"/>
  <c r="Z49"/>
  <c r="BR48"/>
  <c r="BD48"/>
  <c r="AS48"/>
  <c r="AI48"/>
  <c r="X48"/>
  <c r="BN46"/>
  <c r="BF46"/>
  <c r="AY46"/>
  <c r="AS46"/>
  <c r="AO46"/>
  <c r="AI46"/>
  <c r="AC46"/>
  <c r="BR45"/>
  <c r="BD45"/>
  <c r="AW45"/>
  <c r="AS45"/>
  <c r="AM45"/>
  <c r="AG45"/>
  <c r="AA45"/>
  <c r="BJ43"/>
  <c r="AU43"/>
  <c r="AL43"/>
  <c r="BH41"/>
  <c r="AM41"/>
  <c r="BD39"/>
  <c r="AG39"/>
  <c r="BS37"/>
  <c r="BI37"/>
  <c r="BA37"/>
  <c r="AT37"/>
  <c r="AE76"/>
  <c r="AO12" i="17" s="1"/>
  <c r="AW5" i="19" s="1"/>
  <c r="W37" i="15"/>
  <c r="AV36"/>
  <c r="AT35"/>
  <c r="BB33"/>
  <c r="AU33"/>
  <c r="BB32"/>
  <c r="AU32"/>
  <c r="AO32"/>
  <c r="AI32"/>
  <c r="AC32"/>
  <c r="X32"/>
  <c r="AY31"/>
  <c r="AA31"/>
  <c r="FP29"/>
  <c r="FR29" s="1"/>
  <c r="DA29"/>
  <c r="CX30" s="1"/>
  <c r="BG29"/>
  <c r="AS29"/>
  <c r="AF29"/>
  <c r="G19"/>
  <c r="G18"/>
  <c r="G14"/>
  <c r="G9"/>
  <c r="Q83" i="26"/>
  <c r="Q7"/>
  <c r="Y10" s="1"/>
  <c r="U11" s="1"/>
  <c r="H25" i="20"/>
  <c r="H22"/>
  <c r="H16"/>
  <c r="C25" i="2"/>
  <c r="E23"/>
  <c r="O28" i="17"/>
  <c r="P28" i="14"/>
  <c r="P22"/>
  <c r="L61" i="16"/>
  <c r="F59"/>
  <c r="L55"/>
  <c r="F53"/>
  <c r="L48"/>
  <c r="F46"/>
  <c r="F25"/>
  <c r="BC62" i="15"/>
  <c r="BF61"/>
  <c r="AS61"/>
  <c r="AG61"/>
  <c r="BM50"/>
  <c r="AS50"/>
  <c r="AB50"/>
  <c r="BL49"/>
  <c r="AY49"/>
  <c r="BC48"/>
  <c r="AH48"/>
  <c r="BF37"/>
  <c r="AS37"/>
  <c r="AG37"/>
  <c r="AO36"/>
  <c r="BH35"/>
  <c r="DA19"/>
  <c r="CX20" s="1"/>
  <c r="Q103" i="26"/>
  <c r="L64" i="16"/>
  <c r="F63"/>
  <c r="F62"/>
  <c r="F61"/>
  <c r="L58"/>
  <c r="F57"/>
  <c r="F56"/>
  <c r="L53"/>
  <c r="L52"/>
  <c r="R49"/>
  <c r="F49"/>
  <c r="L46"/>
  <c r="L45"/>
  <c r="R44"/>
  <c r="F44"/>
  <c r="R39"/>
  <c r="R30"/>
  <c r="L28"/>
  <c r="F27"/>
  <c r="L24"/>
  <c r="BO68" i="15"/>
  <c r="BG68"/>
  <c r="BA68"/>
  <c r="AT68"/>
  <c r="AN68"/>
  <c r="AH68"/>
  <c r="AB68"/>
  <c r="BT61"/>
  <c r="BJ61"/>
  <c r="BB61"/>
  <c r="AU61"/>
  <c r="BR60"/>
  <c r="BC60"/>
  <c r="AO60"/>
  <c r="X60"/>
  <c r="BO59"/>
  <c r="AT59"/>
  <c r="BS55"/>
  <c r="BF55"/>
  <c r="AX55"/>
  <c r="W55"/>
  <c r="BK51"/>
  <c r="BA51"/>
  <c r="AT51"/>
  <c r="W51"/>
  <c r="BO50"/>
  <c r="BD50"/>
  <c r="AV50"/>
  <c r="AN50"/>
  <c r="BF49"/>
  <c r="AS49"/>
  <c r="AM49"/>
  <c r="AG49"/>
  <c r="BM48"/>
  <c r="AV48"/>
  <c r="AN48"/>
  <c r="AB48"/>
  <c r="BS46"/>
  <c r="BI46"/>
  <c r="BC46"/>
  <c r="AV46"/>
  <c r="BK45"/>
  <c r="BA45"/>
  <c r="AT45"/>
  <c r="W45"/>
  <c r="BK43"/>
  <c r="AX43"/>
  <c r="AF43"/>
  <c r="BO41"/>
  <c r="AT41"/>
  <c r="BQ39"/>
  <c r="BT37"/>
  <c r="BJ37"/>
  <c r="BB37"/>
  <c r="AU37"/>
  <c r="Y37"/>
  <c r="BM36"/>
  <c r="AB36"/>
  <c r="BS31"/>
  <c r="W31"/>
  <c r="DA21"/>
  <c r="CX22" s="1"/>
  <c r="Q183" i="26"/>
  <c r="Q130"/>
  <c r="H30" i="20"/>
  <c r="G25" i="2"/>
  <c r="G23"/>
  <c r="E19" i="17"/>
  <c r="O29" i="14"/>
  <c r="CW8" i="1" s="1"/>
  <c r="O27" i="14"/>
  <c r="Y158" i="27"/>
  <c r="U159" s="1"/>
  <c r="Y160"/>
  <c r="U161" s="1"/>
  <c r="Y162"/>
  <c r="U163" s="1"/>
  <c r="Y164"/>
  <c r="U165" s="1"/>
  <c r="Y166"/>
  <c r="U167" s="1"/>
  <c r="Y155"/>
  <c r="Y159"/>
  <c r="U160" s="1"/>
  <c r="Y161"/>
  <c r="U162" s="1"/>
  <c r="Y163"/>
  <c r="U164" s="1"/>
  <c r="Y165"/>
  <c r="U166" s="1"/>
  <c r="Y167"/>
  <c r="Y129"/>
  <c r="Y133"/>
  <c r="U134" s="1"/>
  <c r="Y135"/>
  <c r="U136" s="1"/>
  <c r="Y137"/>
  <c r="U138" s="1"/>
  <c r="Y139"/>
  <c r="U140" s="1"/>
  <c r="Y141"/>
  <c r="Y132"/>
  <c r="U133" s="1"/>
  <c r="Y134"/>
  <c r="U135" s="1"/>
  <c r="Y136"/>
  <c r="U137" s="1"/>
  <c r="Y138"/>
  <c r="U139" s="1"/>
  <c r="Y140"/>
  <c r="U141" s="1"/>
  <c r="D35" i="20"/>
  <c r="I54" i="16"/>
  <c r="C7" i="27"/>
  <c r="C8"/>
  <c r="D31" i="19"/>
  <c r="D48"/>
  <c r="D69"/>
  <c r="CH94" i="15"/>
  <c r="CH93"/>
  <c r="Y67"/>
  <c r="AU67"/>
  <c r="BB67"/>
  <c r="BJ67"/>
  <c r="BT67"/>
  <c r="H43" i="20"/>
  <c r="W67" i="15"/>
  <c r="AT67"/>
  <c r="BA67"/>
  <c r="BI67"/>
  <c r="BS67"/>
  <c r="AY67"/>
  <c r="BL67"/>
  <c r="AA67"/>
  <c r="AG67"/>
  <c r="AM67"/>
  <c r="AS67"/>
  <c r="BF67"/>
  <c r="Z67"/>
  <c r="AF67"/>
  <c r="AL67"/>
  <c r="AR67"/>
  <c r="BE67"/>
  <c r="D41" i="20"/>
  <c r="I60" i="16"/>
  <c r="D40" i="20"/>
  <c r="I59" i="16"/>
  <c r="FM10" i="15"/>
  <c r="N21" i="23"/>
  <c r="N22" s="1"/>
  <c r="O23" s="1"/>
  <c r="C6" i="27"/>
  <c r="CB143" i="15"/>
  <c r="GC76"/>
  <c r="Y182" i="27"/>
  <c r="Y186"/>
  <c r="U187" s="1"/>
  <c r="Y188"/>
  <c r="U189" s="1"/>
  <c r="Y190"/>
  <c r="U191" s="1"/>
  <c r="Y192"/>
  <c r="U193" s="1"/>
  <c r="Y194"/>
  <c r="Y185"/>
  <c r="U186" s="1"/>
  <c r="Y187"/>
  <c r="U188" s="1"/>
  <c r="Y189"/>
  <c r="U190" s="1"/>
  <c r="Y191"/>
  <c r="U192" s="1"/>
  <c r="Y193"/>
  <c r="U194" s="1"/>
  <c r="Y105"/>
  <c r="U106" s="1"/>
  <c r="Y107"/>
  <c r="U108" s="1"/>
  <c r="Y109"/>
  <c r="U110" s="1"/>
  <c r="Y111"/>
  <c r="U112" s="1"/>
  <c r="Y113"/>
  <c r="U114" s="1"/>
  <c r="Y102"/>
  <c r="Y106"/>
  <c r="U107" s="1"/>
  <c r="Y108"/>
  <c r="U109" s="1"/>
  <c r="Y110"/>
  <c r="U111" s="1"/>
  <c r="Y112"/>
  <c r="U113" s="1"/>
  <c r="Y114"/>
  <c r="Y29"/>
  <c r="Y33"/>
  <c r="U34" s="1"/>
  <c r="Y35"/>
  <c r="U36" s="1"/>
  <c r="Y37"/>
  <c r="U38" s="1"/>
  <c r="Y39"/>
  <c r="U40" s="1"/>
  <c r="Y32"/>
  <c r="U33" s="1"/>
  <c r="Y34"/>
  <c r="U35" s="1"/>
  <c r="Y36"/>
  <c r="U37" s="1"/>
  <c r="Y38"/>
  <c r="U39" s="1"/>
  <c r="Y40"/>
  <c r="D30" i="20"/>
  <c r="I49" i="16"/>
  <c r="Y85" i="27"/>
  <c r="U86" s="1"/>
  <c r="Y87"/>
  <c r="Y82"/>
  <c r="Y86"/>
  <c r="U87" s="1"/>
  <c r="Y54"/>
  <c r="Y58"/>
  <c r="U59" s="1"/>
  <c r="Y60"/>
  <c r="U61" s="1"/>
  <c r="Y62"/>
  <c r="U63" s="1"/>
  <c r="Y64"/>
  <c r="U65" s="1"/>
  <c r="Y66"/>
  <c r="Y57"/>
  <c r="U58" s="1"/>
  <c r="Y59"/>
  <c r="U60" s="1"/>
  <c r="Y61"/>
  <c r="U62" s="1"/>
  <c r="Y63"/>
  <c r="U64" s="1"/>
  <c r="Y65"/>
  <c r="U66" s="1"/>
  <c r="Y6"/>
  <c r="Y10"/>
  <c r="U11" s="1"/>
  <c r="Y11"/>
  <c r="U12" s="1"/>
  <c r="Y12"/>
  <c r="U13" s="1"/>
  <c r="Y13"/>
  <c r="U14" s="1"/>
  <c r="Y15"/>
  <c r="U16" s="1"/>
  <c r="Y16"/>
  <c r="Y14"/>
  <c r="U15" s="1"/>
  <c r="D25" i="20"/>
  <c r="I44" i="16"/>
  <c r="C12" i="27"/>
  <c r="C10"/>
  <c r="GT107" i="15"/>
  <c r="GP118" s="1"/>
  <c r="GT84"/>
  <c r="EU92"/>
  <c r="EX92"/>
  <c r="EK98"/>
  <c r="EL98" s="1"/>
  <c r="EM98" s="1"/>
  <c r="EN98" s="1"/>
  <c r="H33" i="20"/>
  <c r="W57" i="15"/>
  <c r="AT57"/>
  <c r="BA57"/>
  <c r="BK57"/>
  <c r="AA57"/>
  <c r="AG57"/>
  <c r="AM57"/>
  <c r="AS57"/>
  <c r="AW57"/>
  <c r="BD57"/>
  <c r="BR57"/>
  <c r="Y34"/>
  <c r="AW34"/>
  <c r="BD34"/>
  <c r="BJ34"/>
  <c r="BT34"/>
  <c r="X34"/>
  <c r="AV34"/>
  <c r="BC34"/>
  <c r="BI34"/>
  <c r="BS34"/>
  <c r="H10" i="20"/>
  <c r="AC34" i="15"/>
  <c r="AI34"/>
  <c r="AO34"/>
  <c r="AS34"/>
  <c r="BF34"/>
  <c r="AB34"/>
  <c r="AH34"/>
  <c r="AN34"/>
  <c r="AR34"/>
  <c r="BE34"/>
  <c r="DB44"/>
  <c r="DA44" s="1"/>
  <c r="CX45" s="1"/>
  <c r="DB41"/>
  <c r="DA41" s="1"/>
  <c r="CX42" s="1"/>
  <c r="DB47"/>
  <c r="F8"/>
  <c r="CD15"/>
  <c r="D8"/>
  <c r="F15"/>
  <c r="D15"/>
  <c r="AB5" i="23"/>
  <c r="AC49" s="1"/>
  <c r="AB6"/>
  <c r="AB10"/>
  <c r="AB19"/>
  <c r="AB21"/>
  <c r="AB22"/>
  <c r="AB26"/>
  <c r="AB27"/>
  <c r="AG47"/>
  <c r="AB8"/>
  <c r="AB12"/>
  <c r="AB13"/>
  <c r="AB15"/>
  <c r="AB18"/>
  <c r="AB25"/>
  <c r="AB9"/>
  <c r="AB14"/>
  <c r="AC48"/>
  <c r="AB20"/>
  <c r="AB24"/>
  <c r="AB28"/>
  <c r="Y155" i="26"/>
  <c r="Y159"/>
  <c r="U160" s="1"/>
  <c r="Y161"/>
  <c r="U162" s="1"/>
  <c r="Y163"/>
  <c r="U164" s="1"/>
  <c r="Y165"/>
  <c r="U166" s="1"/>
  <c r="Y167"/>
  <c r="Y160"/>
  <c r="U161" s="1"/>
  <c r="Y164"/>
  <c r="U165" s="1"/>
  <c r="D45" i="5"/>
  <c r="I64" i="2"/>
  <c r="I35" i="5"/>
  <c r="W58" i="1"/>
  <c r="AG58"/>
  <c r="AS58"/>
  <c r="BB58"/>
  <c r="BL58"/>
  <c r="AF58"/>
  <c r="AR58"/>
  <c r="BA58"/>
  <c r="BK58"/>
  <c r="AA58"/>
  <c r="AU58"/>
  <c r="BP58"/>
  <c r="AM58"/>
  <c r="BH58"/>
  <c r="S53" i="2"/>
  <c r="AL58" i="1"/>
  <c r="Z58"/>
  <c r="BO58"/>
  <c r="AT58"/>
  <c r="DT37"/>
  <c r="DT38"/>
  <c r="CE91" i="15"/>
  <c r="CE92"/>
  <c r="EP92"/>
  <c r="DA69"/>
  <c r="DA72"/>
  <c r="DB75"/>
  <c r="DA76"/>
  <c r="DA93"/>
  <c r="DB96"/>
  <c r="DB100"/>
  <c r="DB74"/>
  <c r="DA75"/>
  <c r="DB94"/>
  <c r="DA96"/>
  <c r="DA100"/>
  <c r="W59"/>
  <c r="AG59"/>
  <c r="AS59"/>
  <c r="BB59"/>
  <c r="BL59"/>
  <c r="AF59"/>
  <c r="AR59"/>
  <c r="BA59"/>
  <c r="BK59"/>
  <c r="Y49"/>
  <c r="AU49"/>
  <c r="BB49"/>
  <c r="BJ49"/>
  <c r="BT49"/>
  <c r="W49"/>
  <c r="AT49"/>
  <c r="BA49"/>
  <c r="BI49"/>
  <c r="BS49"/>
  <c r="R43" i="16"/>
  <c r="BG47" i="15"/>
  <c r="AG47"/>
  <c r="R41" i="16"/>
  <c r="AB42" i="15"/>
  <c r="AN42"/>
  <c r="AV42"/>
  <c r="BM42"/>
  <c r="X42"/>
  <c r="AI42"/>
  <c r="AS42"/>
  <c r="BD42"/>
  <c r="BR42"/>
  <c r="H18" i="20"/>
  <c r="AC42" i="15"/>
  <c r="AW42"/>
  <c r="AR42"/>
  <c r="BQ42"/>
  <c r="X39"/>
  <c r="AU39"/>
  <c r="BB39"/>
  <c r="BL39"/>
  <c r="W39"/>
  <c r="AT39"/>
  <c r="BA39"/>
  <c r="BK39"/>
  <c r="Z39"/>
  <c r="AF39"/>
  <c r="AL39"/>
  <c r="AR39"/>
  <c r="BC39"/>
  <c r="H15" i="20"/>
  <c r="AW39" i="15"/>
  <c r="BR39"/>
  <c r="R33" i="16"/>
  <c r="W38" i="15"/>
  <c r="AT38"/>
  <c r="AS38"/>
  <c r="H14" i="20"/>
  <c r="AC38" i="15"/>
  <c r="DB34"/>
  <c r="DA34" s="1"/>
  <c r="CX35" s="1"/>
  <c r="DB38"/>
  <c r="F16"/>
  <c r="D16"/>
  <c r="G16"/>
  <c r="EI19" i="1"/>
  <c r="EI12"/>
  <c r="EN32" s="1"/>
  <c r="EI13"/>
  <c r="EI14"/>
  <c r="EI17"/>
  <c r="EI18"/>
  <c r="EI22"/>
  <c r="EI15"/>
  <c r="EI20"/>
  <c r="EI11"/>
  <c r="EN31" s="1"/>
  <c r="EI10"/>
  <c r="EI16"/>
  <c r="EI21"/>
  <c r="BM62" i="15"/>
  <c r="AV62"/>
  <c r="BE52"/>
  <c r="AR52"/>
  <c r="AN52"/>
  <c r="AH52"/>
  <c r="AB52"/>
  <c r="CE48"/>
  <c r="DB39"/>
  <c r="DA39" s="1"/>
  <c r="CX40" s="1"/>
  <c r="FL33"/>
  <c r="G15"/>
  <c r="CD10"/>
  <c r="K9"/>
  <c r="K2" i="16" s="1"/>
  <c r="G8" i="15"/>
  <c r="GH12"/>
  <c r="GL6" s="1"/>
  <c r="I63" i="16"/>
  <c r="I57"/>
  <c r="I55"/>
  <c r="I47"/>
  <c r="I45"/>
  <c r="I41"/>
  <c r="I34"/>
  <c r="D5" i="19"/>
  <c r="EW92" i="15"/>
  <c r="BC69"/>
  <c r="AR69"/>
  <c r="AL69"/>
  <c r="AF69"/>
  <c r="BN62"/>
  <c r="BE58"/>
  <c r="AR58"/>
  <c r="AN58"/>
  <c r="AH58"/>
  <c r="BL57"/>
  <c r="AU57"/>
  <c r="AL57"/>
  <c r="FJ56"/>
  <c r="FN55"/>
  <c r="FK56" s="1"/>
  <c r="FJ54"/>
  <c r="FG55" s="1"/>
  <c r="AW54"/>
  <c r="FN53"/>
  <c r="FK54" s="1"/>
  <c r="BF52"/>
  <c r="AS52"/>
  <c r="AO52"/>
  <c r="AI52"/>
  <c r="AC52"/>
  <c r="CB48"/>
  <c r="AY34"/>
  <c r="CF32"/>
  <c r="AQ76"/>
  <c r="AO14" i="17" s="1"/>
  <c r="BC5" i="19" s="1"/>
  <c r="FP25" i="15"/>
  <c r="FR25" s="1"/>
  <c r="AB4" i="23"/>
  <c r="Y166" i="26"/>
  <c r="U167" s="1"/>
  <c r="Y158"/>
  <c r="U159" s="1"/>
  <c r="H35" i="20"/>
  <c r="H38"/>
  <c r="X62" i="15"/>
  <c r="AC62"/>
  <c r="AI62"/>
  <c r="AO62"/>
  <c r="AU62"/>
  <c r="BB62"/>
  <c r="BH62"/>
  <c r="BP62"/>
  <c r="W62"/>
  <c r="AB62"/>
  <c r="AH62"/>
  <c r="AN62"/>
  <c r="AT62"/>
  <c r="BA62"/>
  <c r="BG62"/>
  <c r="BO62"/>
  <c r="Y52"/>
  <c r="AW52"/>
  <c r="BD52"/>
  <c r="BJ52"/>
  <c r="BT52"/>
  <c r="X52"/>
  <c r="AV52"/>
  <c r="BC52"/>
  <c r="BI52"/>
  <c r="BS52"/>
  <c r="DB36"/>
  <c r="DB40"/>
  <c r="DA40" s="1"/>
  <c r="CX41" s="1"/>
  <c r="DB43"/>
  <c r="DA43" s="1"/>
  <c r="CX44" s="1"/>
  <c r="DB46"/>
  <c r="DA46" s="1"/>
  <c r="CX47" s="1"/>
  <c r="DB48"/>
  <c r="DA48" s="1"/>
  <c r="CX49" s="1"/>
  <c r="DB35"/>
  <c r="DA35" s="1"/>
  <c r="CX36" s="1"/>
  <c r="DB42"/>
  <c r="DA42" s="1"/>
  <c r="CX43" s="1"/>
  <c r="DB45"/>
  <c r="DB32"/>
  <c r="DA26"/>
  <c r="CX27" s="1"/>
  <c r="G17"/>
  <c r="F17"/>
  <c r="D17"/>
  <c r="BT17" i="14"/>
  <c r="BT16" s="1"/>
  <c r="BG48"/>
  <c r="FP20" i="15"/>
  <c r="FR20" s="1"/>
  <c r="FP22"/>
  <c r="FR22" s="1"/>
  <c r="FP24"/>
  <c r="FR24" s="1"/>
  <c r="FR31"/>
  <c r="FJ33"/>
  <c r="FH4"/>
  <c r="CJ7"/>
  <c r="CM6" s="1"/>
  <c r="X15"/>
  <c r="F34" i="17" s="1"/>
  <c r="X16" i="15"/>
  <c r="FP21"/>
  <c r="FR21" s="1"/>
  <c r="FH31"/>
  <c r="FH32"/>
  <c r="FI33"/>
  <c r="FM34"/>
  <c r="FM35"/>
  <c r="FK40"/>
  <c r="FN10"/>
  <c r="CJ14"/>
  <c r="FP27"/>
  <c r="FR27" s="1"/>
  <c r="FH34"/>
  <c r="FJ34" s="1"/>
  <c r="FP28"/>
  <c r="FR28" s="1"/>
  <c r="FM33"/>
  <c r="CF36"/>
  <c r="D3" i="16"/>
  <c r="EG7" i="15"/>
  <c r="EG11"/>
  <c r="EG5"/>
  <c r="EG6"/>
  <c r="EG8"/>
  <c r="EG9"/>
  <c r="EG4"/>
  <c r="FJ47"/>
  <c r="FG48" s="1"/>
  <c r="FN50"/>
  <c r="FK51" s="1"/>
  <c r="FN52"/>
  <c r="FK53" s="1"/>
  <c r="FJ53"/>
  <c r="FG54" s="1"/>
  <c r="FN54"/>
  <c r="FK55" s="1"/>
  <c r="FN48"/>
  <c r="FK49" s="1"/>
  <c r="FN49"/>
  <c r="FK50" s="1"/>
  <c r="FN51"/>
  <c r="FK52" s="1"/>
  <c r="FJ55"/>
  <c r="FG56" s="1"/>
  <c r="AF60" i="23"/>
  <c r="AF61" s="1"/>
  <c r="AF62" s="1"/>
  <c r="AF63" s="1"/>
  <c r="AF64" s="1"/>
  <c r="AF65" s="1"/>
  <c r="AF66" s="1"/>
  <c r="AF67" s="1"/>
  <c r="AF68" s="1"/>
  <c r="AF69" s="1"/>
  <c r="AF71"/>
  <c r="AC51" s="1"/>
  <c r="B11" i="2"/>
  <c r="S6" i="15"/>
  <c r="X69"/>
  <c r="AU69"/>
  <c r="BB69"/>
  <c r="BL69"/>
  <c r="H45" i="20"/>
  <c r="W69" i="15"/>
  <c r="AT69"/>
  <c r="BA69"/>
  <c r="BK69"/>
  <c r="H34" i="20"/>
  <c r="Y58" i="15"/>
  <c r="AW58"/>
  <c r="BD58"/>
  <c r="BJ58"/>
  <c r="BT58"/>
  <c r="X58"/>
  <c r="AV58"/>
  <c r="BC58"/>
  <c r="BI58"/>
  <c r="BS58"/>
  <c r="AB54"/>
  <c r="AN54"/>
  <c r="AV54"/>
  <c r="BM54"/>
  <c r="X54"/>
  <c r="AI54"/>
  <c r="AS54"/>
  <c r="BD54"/>
  <c r="BR54"/>
  <c r="CH47"/>
  <c r="CH48"/>
  <c r="F5"/>
  <c r="CB7"/>
  <c r="G5"/>
  <c r="S15" i="2"/>
  <c r="S17" s="1"/>
  <c r="I45" i="5"/>
  <c r="W68" i="1"/>
  <c r="AB68"/>
  <c r="AH68"/>
  <c r="AN68"/>
  <c r="AT68"/>
  <c r="BA68"/>
  <c r="BK68"/>
  <c r="AS68"/>
  <c r="AW68"/>
  <c r="BD68"/>
  <c r="BR68"/>
  <c r="AC68"/>
  <c r="AU68"/>
  <c r="BL68"/>
  <c r="AO68"/>
  <c r="BB68"/>
  <c r="S63" i="2"/>
  <c r="X68" i="1"/>
  <c r="AR68"/>
  <c r="BQ68"/>
  <c r="AI68"/>
  <c r="BC68"/>
  <c r="AV68"/>
  <c r="D42" i="5"/>
  <c r="I61" i="2"/>
  <c r="D31" i="5"/>
  <c r="I50" i="2"/>
  <c r="F23" i="1"/>
  <c r="D23"/>
  <c r="G23"/>
  <c r="CM5" i="15"/>
  <c r="D4" i="20"/>
  <c r="I64" i="16"/>
  <c r="I58"/>
  <c r="I52"/>
  <c r="I48"/>
  <c r="I40"/>
  <c r="I39"/>
  <c r="R28"/>
  <c r="CC143" i="15"/>
  <c r="CB92"/>
  <c r="BD62"/>
  <c r="AS62"/>
  <c r="BB57"/>
  <c r="Z57"/>
  <c r="FN56"/>
  <c r="FJ52"/>
  <c r="FG53" s="1"/>
  <c r="BN52"/>
  <c r="AY52"/>
  <c r="FJ50"/>
  <c r="FG51" s="1"/>
  <c r="CB49"/>
  <c r="BN34"/>
  <c r="FH33"/>
  <c r="DA31"/>
  <c r="CX32" s="1"/>
  <c r="FP30"/>
  <c r="FR30" s="1"/>
  <c r="K3"/>
  <c r="AB17" i="23"/>
  <c r="AC19" i="11"/>
  <c r="AC22" s="1"/>
  <c r="AB27" s="1"/>
  <c r="Y162" i="26"/>
  <c r="U163" s="1"/>
  <c r="W43" i="15"/>
  <c r="AT43"/>
  <c r="BA43"/>
  <c r="BI43"/>
  <c r="BS43"/>
  <c r="AA43"/>
  <c r="AG43"/>
  <c r="AM43"/>
  <c r="AS43"/>
  <c r="AY43"/>
  <c r="BF43"/>
  <c r="BL43"/>
  <c r="W41"/>
  <c r="AG41"/>
  <c r="AS41"/>
  <c r="BB41"/>
  <c r="BL41"/>
  <c r="AF41"/>
  <c r="AR41"/>
  <c r="BA41"/>
  <c r="BK41"/>
  <c r="AS35"/>
  <c r="AR35"/>
  <c r="G22"/>
  <c r="F22"/>
  <c r="V3" i="17"/>
  <c r="CF28" i="15"/>
  <c r="CF34" s="1"/>
  <c r="CJ37"/>
  <c r="S8"/>
  <c r="FJ21"/>
  <c r="FG22" s="1"/>
  <c r="FN25"/>
  <c r="FK26" s="1"/>
  <c r="FN26"/>
  <c r="FN18"/>
  <c r="FK19" s="1"/>
  <c r="FJ19"/>
  <c r="FG20" s="1"/>
  <c r="FN20"/>
  <c r="FK21" s="1"/>
  <c r="FN22"/>
  <c r="FK23" s="1"/>
  <c r="FJ23"/>
  <c r="FG24" s="1"/>
  <c r="FN24"/>
  <c r="FK25" s="1"/>
  <c r="C6" i="26"/>
  <c r="C7"/>
  <c r="C8"/>
  <c r="C9"/>
  <c r="C10"/>
  <c r="C11"/>
  <c r="C12"/>
  <c r="C13"/>
  <c r="O22" i="17"/>
  <c r="P28"/>
  <c r="O29"/>
  <c r="CW8" i="15" s="1"/>
  <c r="CW10" s="1"/>
  <c r="CW11" s="1"/>
  <c r="O5" i="17"/>
  <c r="O27"/>
  <c r="P29"/>
  <c r="P4"/>
  <c r="P27"/>
  <c r="L4"/>
  <c r="L5"/>
  <c r="BO7" i="14" s="1"/>
  <c r="L8" i="17"/>
  <c r="M10"/>
  <c r="AH11"/>
  <c r="AX12" i="14" s="1"/>
  <c r="M12" i="17"/>
  <c r="M13"/>
  <c r="AO13"/>
  <c r="AZ5" i="19" s="1"/>
  <c r="M14" i="17"/>
  <c r="M15"/>
  <c r="C20"/>
  <c r="M20"/>
  <c r="L21"/>
  <c r="L25" s="1"/>
  <c r="E37"/>
  <c r="L19"/>
  <c r="I20"/>
  <c r="E38"/>
  <c r="M19"/>
  <c r="L20"/>
  <c r="U26"/>
  <c r="C36"/>
  <c r="D39" i="5"/>
  <c r="I58" i="2"/>
  <c r="D30" i="5"/>
  <c r="I49" i="2"/>
  <c r="I18" i="5"/>
  <c r="X41" i="1"/>
  <c r="AI41"/>
  <c r="AS41"/>
  <c r="BD41"/>
  <c r="BR41"/>
  <c r="AH41"/>
  <c r="AR41"/>
  <c r="BC41"/>
  <c r="BQ41"/>
  <c r="AB41"/>
  <c r="AV41"/>
  <c r="AO41"/>
  <c r="BN41"/>
  <c r="AN41"/>
  <c r="S36" i="2"/>
  <c r="BM41" i="1"/>
  <c r="AW41"/>
  <c r="AC41"/>
  <c r="F42" i="16"/>
  <c r="L41"/>
  <c r="F40"/>
  <c r="L39"/>
  <c r="F38"/>
  <c r="L37"/>
  <c r="F36"/>
  <c r="L35"/>
  <c r="F34"/>
  <c r="L33"/>
  <c r="F32"/>
  <c r="L31"/>
  <c r="F30"/>
  <c r="L29"/>
  <c r="F28"/>
  <c r="L27"/>
  <c r="F26"/>
  <c r="L25"/>
  <c r="F24"/>
  <c r="L23"/>
  <c r="BT70" i="15"/>
  <c r="BJ70"/>
  <c r="BD70"/>
  <c r="AW70"/>
  <c r="Y70"/>
  <c r="BO65"/>
  <c r="BG65"/>
  <c r="AT65"/>
  <c r="AL65"/>
  <c r="Z65"/>
  <c r="BL63"/>
  <c r="BB63"/>
  <c r="AU63"/>
  <c r="X63"/>
  <c r="DX61"/>
  <c r="FY60"/>
  <c r="BM60"/>
  <c r="AV60"/>
  <c r="AN60"/>
  <c r="AB60"/>
  <c r="DX57"/>
  <c r="FY55"/>
  <c r="BT55"/>
  <c r="BJ55"/>
  <c r="BB55"/>
  <c r="AU55"/>
  <c r="Y55"/>
  <c r="BP50"/>
  <c r="BH50"/>
  <c r="BB50"/>
  <c r="AU50"/>
  <c r="AO50"/>
  <c r="AI50"/>
  <c r="AC50"/>
  <c r="X50"/>
  <c r="DA47"/>
  <c r="CX48" s="1"/>
  <c r="AW36"/>
  <c r="CK29"/>
  <c r="CZ27"/>
  <c r="CM9"/>
  <c r="CM11" s="1"/>
  <c r="CJ5" s="1"/>
  <c r="AD19" i="24"/>
  <c r="AD22" s="1"/>
  <c r="AB27" s="1"/>
  <c r="AC22" i="18"/>
  <c r="AB27" s="1"/>
  <c r="Y111" i="26"/>
  <c r="U112" s="1"/>
  <c r="H19" i="20"/>
  <c r="P5" i="17"/>
  <c r="AI3"/>
  <c r="X36" i="15"/>
  <c r="AI36"/>
  <c r="AS36"/>
  <c r="BD36"/>
  <c r="BR36"/>
  <c r="AH36"/>
  <c r="AR36"/>
  <c r="BC36"/>
  <c r="BQ36"/>
  <c r="F3"/>
  <c r="E3"/>
  <c r="DA20"/>
  <c r="CX21" s="1"/>
  <c r="DA23"/>
  <c r="CX24" s="1"/>
  <c r="DA28"/>
  <c r="CX29" s="1"/>
  <c r="DA30"/>
  <c r="CX31" s="1"/>
  <c r="DA37"/>
  <c r="CX38" s="1"/>
  <c r="DA38"/>
  <c r="CX39" s="1"/>
  <c r="DA45"/>
  <c r="CX46" s="1"/>
  <c r="DA18"/>
  <c r="CX19" s="1"/>
  <c r="DA22"/>
  <c r="CX23" s="1"/>
  <c r="DA27"/>
  <c r="CX28" s="1"/>
  <c r="DA32"/>
  <c r="CX33" s="1"/>
  <c r="DA33"/>
  <c r="CX34" s="1"/>
  <c r="DA36"/>
  <c r="CX37" s="1"/>
  <c r="CZ19"/>
  <c r="CY20" s="1"/>
  <c r="CZ24"/>
  <c r="CY25" s="1"/>
  <c r="CZ25"/>
  <c r="CY26" s="1"/>
  <c r="CZ26"/>
  <c r="CZ29"/>
  <c r="CZ31"/>
  <c r="CZ20"/>
  <c r="CY21" s="1"/>
  <c r="CZ23"/>
  <c r="CY24" s="1"/>
  <c r="CZ28"/>
  <c r="CZ30"/>
  <c r="Y102" i="26"/>
  <c r="Y106"/>
  <c r="U107" s="1"/>
  <c r="Y108"/>
  <c r="U109" s="1"/>
  <c r="Y110"/>
  <c r="U111" s="1"/>
  <c r="Y112"/>
  <c r="U113" s="1"/>
  <c r="Y114"/>
  <c r="Y82"/>
  <c r="Y86"/>
  <c r="U87" s="1"/>
  <c r="F24" i="17"/>
  <c r="J8" i="14"/>
  <c r="J12"/>
  <c r="J18"/>
  <c r="J21"/>
  <c r="M27"/>
  <c r="M22"/>
  <c r="M25"/>
  <c r="I4"/>
  <c r="AD19" i="18"/>
  <c r="AD22" s="1"/>
  <c r="CH85" i="1"/>
  <c r="CH86"/>
  <c r="CH40"/>
  <c r="CH39"/>
  <c r="CH41"/>
  <c r="BP29" i="15"/>
  <c r="BH29"/>
  <c r="AU29"/>
  <c r="AM29"/>
  <c r="F13"/>
  <c r="D9"/>
  <c r="E25" i="2"/>
  <c r="U63" i="17"/>
  <c r="CB135" i="1"/>
  <c r="CC25" s="1"/>
  <c r="S11" i="2"/>
  <c r="S12" s="1"/>
  <c r="F23"/>
  <c r="H24"/>
  <c r="F25"/>
  <c r="D23"/>
  <c r="C5" i="5" s="1"/>
  <c r="H23" i="2"/>
  <c r="F24"/>
  <c r="D25"/>
  <c r="C7" i="5" s="1"/>
  <c r="H25" i="2"/>
  <c r="I27" i="5"/>
  <c r="W50" i="1"/>
  <c r="AB50"/>
  <c r="AH50"/>
  <c r="AN50"/>
  <c r="AT50"/>
  <c r="BA50"/>
  <c r="BK50"/>
  <c r="AO50"/>
  <c r="AV50"/>
  <c r="BD50"/>
  <c r="X50"/>
  <c r="AU50"/>
  <c r="BC50"/>
  <c r="BR50"/>
  <c r="BB50"/>
  <c r="AI50"/>
  <c r="AS50"/>
  <c r="BQ50"/>
  <c r="S45" i="2"/>
  <c r="CB38" i="1"/>
  <c r="CB39"/>
  <c r="D5"/>
  <c r="G5"/>
  <c r="F5"/>
  <c r="CB7"/>
  <c r="H3" i="20"/>
  <c r="B3" s="1"/>
  <c r="I33" i="5"/>
  <c r="W56" i="1"/>
  <c r="AB56"/>
  <c r="AH56"/>
  <c r="AN56"/>
  <c r="AT56"/>
  <c r="BA56"/>
  <c r="BK56"/>
  <c r="AO56"/>
  <c r="AV56"/>
  <c r="BD56"/>
  <c r="X56"/>
  <c r="AU56"/>
  <c r="BC56"/>
  <c r="BR56"/>
  <c r="I31" i="5"/>
  <c r="W54" i="1"/>
  <c r="AD54"/>
  <c r="AJ54"/>
  <c r="AP54"/>
  <c r="AT54"/>
  <c r="BA54"/>
  <c r="BI54"/>
  <c r="BS54"/>
  <c r="Y54"/>
  <c r="AU54"/>
  <c r="BE54"/>
  <c r="BL54"/>
  <c r="AE54"/>
  <c r="AS54"/>
  <c r="BB54"/>
  <c r="BK54"/>
  <c r="I17" i="5"/>
  <c r="Z40" i="1"/>
  <c r="AL40"/>
  <c r="AT40"/>
  <c r="BG40"/>
  <c r="BO40"/>
  <c r="W40"/>
  <c r="AG40"/>
  <c r="AS40"/>
  <c r="BB40"/>
  <c r="BL40"/>
  <c r="AF40"/>
  <c r="BA40"/>
  <c r="AA40"/>
  <c r="AU40"/>
  <c r="BP40"/>
  <c r="AD19" i="17"/>
  <c r="Z17"/>
  <c r="BP64" i="1"/>
  <c r="AU64"/>
  <c r="BQ62"/>
  <c r="BC61"/>
  <c r="AR61"/>
  <c r="AL61"/>
  <c r="AF61"/>
  <c r="BK60"/>
  <c r="AX60"/>
  <c r="AW59"/>
  <c r="CB83"/>
  <c r="CB84"/>
  <c r="I41" i="5"/>
  <c r="Z64" i="1"/>
  <c r="AL64"/>
  <c r="AT64"/>
  <c r="BG64"/>
  <c r="BO64"/>
  <c r="W64"/>
  <c r="AG64"/>
  <c r="AS64"/>
  <c r="BB64"/>
  <c r="BL64"/>
  <c r="I39" i="5"/>
  <c r="X62" i="1"/>
  <c r="AC62"/>
  <c r="AI62"/>
  <c r="AO62"/>
  <c r="AU62"/>
  <c r="BB62"/>
  <c r="BL62"/>
  <c r="W62"/>
  <c r="AB62"/>
  <c r="AH62"/>
  <c r="AN62"/>
  <c r="AT62"/>
  <c r="BA62"/>
  <c r="BA75" s="1"/>
  <c r="BK62"/>
  <c r="I38" i="5"/>
  <c r="X61" i="1"/>
  <c r="AU61"/>
  <c r="BB61"/>
  <c r="BH61"/>
  <c r="BP61"/>
  <c r="W61"/>
  <c r="AT61"/>
  <c r="BA61"/>
  <c r="BG61"/>
  <c r="BO61"/>
  <c r="I37" i="5"/>
  <c r="W60" i="1"/>
  <c r="AD60"/>
  <c r="AJ60"/>
  <c r="AP60"/>
  <c r="AT60"/>
  <c r="BA60"/>
  <c r="BI60"/>
  <c r="BI75" s="1"/>
  <c r="BS60"/>
  <c r="AS60"/>
  <c r="AY60"/>
  <c r="BF60"/>
  <c r="BL60"/>
  <c r="I36" i="5"/>
  <c r="AB59" i="1"/>
  <c r="AN59"/>
  <c r="AV59"/>
  <c r="BM59"/>
  <c r="X59"/>
  <c r="AI59"/>
  <c r="AS59"/>
  <c r="BD59"/>
  <c r="BR59"/>
  <c r="DT56"/>
  <c r="DT62"/>
  <c r="DT63"/>
  <c r="DT66"/>
  <c r="DT69"/>
  <c r="DT71"/>
  <c r="DT57"/>
  <c r="DT59"/>
  <c r="DT60"/>
  <c r="DT68"/>
  <c r="DB35"/>
  <c r="DB45"/>
  <c r="DB39"/>
  <c r="DB42"/>
  <c r="D15"/>
  <c r="F15"/>
  <c r="S16"/>
  <c r="J16" s="1"/>
  <c r="CG14"/>
  <c r="I30" i="5"/>
  <c r="AB53" i="1"/>
  <c r="AN53"/>
  <c r="AV53"/>
  <c r="BM53"/>
  <c r="I9" i="5"/>
  <c r="AS32" i="1"/>
  <c r="AW32"/>
  <c r="BD32"/>
  <c r="BR32"/>
  <c r="W32"/>
  <c r="AB32"/>
  <c r="AH32"/>
  <c r="AN32"/>
  <c r="AU32"/>
  <c r="AU75" s="1"/>
  <c r="BC32"/>
  <c r="BE80" s="1"/>
  <c r="AT32"/>
  <c r="AU76" s="1"/>
  <c r="BB32"/>
  <c r="BQ32"/>
  <c r="BQ75" s="1"/>
  <c r="CE84"/>
  <c r="BT69"/>
  <c r="BJ69"/>
  <c r="BD69"/>
  <c r="AW69"/>
  <c r="AQ69"/>
  <c r="AK69"/>
  <c r="AE69"/>
  <c r="Y69"/>
  <c r="BO49"/>
  <c r="BC49"/>
  <c r="AU49"/>
  <c r="AF49"/>
  <c r="AW47"/>
  <c r="BN45"/>
  <c r="BK36"/>
  <c r="BK75" s="1"/>
  <c r="AS36"/>
  <c r="BQ35"/>
  <c r="U63" i="14"/>
  <c r="I26" i="5"/>
  <c r="AA49" i="1"/>
  <c r="AG49"/>
  <c r="AM49"/>
  <c r="AS49"/>
  <c r="AW49"/>
  <c r="BD49"/>
  <c r="BN49"/>
  <c r="I24" i="5"/>
  <c r="X47" i="1"/>
  <c r="AI47"/>
  <c r="AS47"/>
  <c r="BD47"/>
  <c r="BR47"/>
  <c r="AH47"/>
  <c r="AR47"/>
  <c r="BC47"/>
  <c r="BQ47"/>
  <c r="I22" i="5"/>
  <c r="Y45" i="1"/>
  <c r="Y75" s="1"/>
  <c r="AE45"/>
  <c r="AK45"/>
  <c r="AQ45"/>
  <c r="AW45"/>
  <c r="BD45"/>
  <c r="BJ45"/>
  <c r="BT45"/>
  <c r="X45"/>
  <c r="AD45"/>
  <c r="AJ45"/>
  <c r="AP45"/>
  <c r="AV45"/>
  <c r="BC45"/>
  <c r="BI45"/>
  <c r="BS45"/>
  <c r="I13" i="5"/>
  <c r="W36" i="1"/>
  <c r="AD36"/>
  <c r="AJ36"/>
  <c r="AP36"/>
  <c r="AQ75" s="1"/>
  <c r="AT36"/>
  <c r="BA36"/>
  <c r="BI36"/>
  <c r="BS36"/>
  <c r="AQ36"/>
  <c r="AX36"/>
  <c r="BF36"/>
  <c r="BT36"/>
  <c r="Y36"/>
  <c r="AU36"/>
  <c r="BE36"/>
  <c r="BL36"/>
  <c r="I12" i="5"/>
  <c r="X35" i="1"/>
  <c r="AI35"/>
  <c r="AS35"/>
  <c r="BD35"/>
  <c r="BR35"/>
  <c r="AC35"/>
  <c r="AR35"/>
  <c r="BM35"/>
  <c r="AB35"/>
  <c r="AO35"/>
  <c r="BC35"/>
  <c r="AK29" i="14"/>
  <c r="AK31" s="1"/>
  <c r="AI29"/>
  <c r="AI31" s="1"/>
  <c r="M5"/>
  <c r="I15" i="5"/>
  <c r="W38" i="1"/>
  <c r="AB38"/>
  <c r="AH38"/>
  <c r="AN38"/>
  <c r="AT38"/>
  <c r="I14" i="5"/>
  <c r="AA37" i="1"/>
  <c r="AG37"/>
  <c r="AM37"/>
  <c r="AS37"/>
  <c r="AW37"/>
  <c r="BD37"/>
  <c r="BN37"/>
  <c r="I10" i="5"/>
  <c r="X33" i="1"/>
  <c r="AD33"/>
  <c r="AE75" s="1"/>
  <c r="AJ33"/>
  <c r="AK75" s="1"/>
  <c r="AP33"/>
  <c r="AV33"/>
  <c r="BC33"/>
  <c r="BI33"/>
  <c r="BS33"/>
  <c r="BS75" s="1"/>
  <c r="BP43"/>
  <c r="BH43"/>
  <c r="BB43"/>
  <c r="AU43"/>
  <c r="X43"/>
  <c r="BT42"/>
  <c r="BJ42"/>
  <c r="BB42"/>
  <c r="AU42"/>
  <c r="AQ42"/>
  <c r="AK42"/>
  <c r="AE42"/>
  <c r="Y42"/>
  <c r="DB40"/>
  <c r="CE39"/>
  <c r="BT39"/>
  <c r="BJ39"/>
  <c r="BD39"/>
  <c r="AW39"/>
  <c r="AQ39"/>
  <c r="AK39"/>
  <c r="AE39"/>
  <c r="Y39"/>
  <c r="BP34"/>
  <c r="BG34"/>
  <c r="AR34"/>
  <c r="BP31"/>
  <c r="BG31"/>
  <c r="AV31"/>
  <c r="CC18"/>
  <c r="F34" i="14"/>
  <c r="M26"/>
  <c r="M19"/>
  <c r="M15"/>
  <c r="M13"/>
  <c r="J10"/>
  <c r="I11" i="5"/>
  <c r="W34" i="1"/>
  <c r="AG34"/>
  <c r="AS34"/>
  <c r="BB34"/>
  <c r="BL34"/>
  <c r="I8" i="5"/>
  <c r="W31" i="1"/>
  <c r="AA31"/>
  <c r="AG31"/>
  <c r="AM31"/>
  <c r="AM75" s="1"/>
  <c r="AS31"/>
  <c r="AW31"/>
  <c r="BD31"/>
  <c r="BN31"/>
  <c r="BM75" s="1"/>
  <c r="G11"/>
  <c r="F11"/>
  <c r="BI38" i="14"/>
  <c r="J5"/>
  <c r="AS6"/>
  <c r="AS7"/>
  <c r="M12"/>
  <c r="C20"/>
  <c r="M21"/>
  <c r="F35"/>
  <c r="L4"/>
  <c r="M8"/>
  <c r="M10"/>
  <c r="J13"/>
  <c r="J14"/>
  <c r="J15"/>
  <c r="J20"/>
  <c r="J22"/>
  <c r="C24"/>
  <c r="M24"/>
  <c r="M28"/>
  <c r="M29"/>
  <c r="E33"/>
  <c r="E35"/>
  <c r="BS5"/>
  <c r="D21" i="1"/>
  <c r="D16"/>
  <c r="D10"/>
  <c r="J3"/>
  <c r="O5" i="14"/>
  <c r="CC10" i="1"/>
  <c r="G8" s="1"/>
  <c r="BQ6" i="14"/>
  <c r="BQ5" s="1"/>
  <c r="P5"/>
  <c r="H7" i="20" l="1"/>
  <c r="Y31" i="15"/>
  <c r="AF31"/>
  <c r="AX31"/>
  <c r="BK31"/>
  <c r="BK76" s="1"/>
  <c r="AL31"/>
  <c r="AU31"/>
  <c r="BJ31"/>
  <c r="BB31"/>
  <c r="BE81" s="1"/>
  <c r="AR31"/>
  <c r="BE31"/>
  <c r="R25" i="16"/>
  <c r="Z31" i="15"/>
  <c r="AA76" s="1"/>
  <c r="BT31"/>
  <c r="AA47"/>
  <c r="AU47"/>
  <c r="BP47"/>
  <c r="AF47"/>
  <c r="AR47"/>
  <c r="BK47"/>
  <c r="BA47"/>
  <c r="AM47"/>
  <c r="BH47"/>
  <c r="G13"/>
  <c r="D13"/>
  <c r="X33"/>
  <c r="W33"/>
  <c r="AV33"/>
  <c r="BD33"/>
  <c r="BC76" s="1"/>
  <c r="BR33"/>
  <c r="AL33"/>
  <c r="BK33"/>
  <c r="H9" i="20"/>
  <c r="AT33" i="15"/>
  <c r="BC33"/>
  <c r="BQ33"/>
  <c r="AF33"/>
  <c r="AW33"/>
  <c r="AA33"/>
  <c r="AG33"/>
  <c r="AM33"/>
  <c r="AM76" s="1"/>
  <c r="AS33"/>
  <c r="BA33"/>
  <c r="BL33"/>
  <c r="R27" i="16"/>
  <c r="Z33" i="15"/>
  <c r="AR33"/>
  <c r="X46"/>
  <c r="Y46"/>
  <c r="BD46"/>
  <c r="BT46"/>
  <c r="R40" i="16"/>
  <c r="AH46" i="15"/>
  <c r="AX46"/>
  <c r="BM46"/>
  <c r="AR46"/>
  <c r="AN46"/>
  <c r="AW46"/>
  <c r="BJ46"/>
  <c r="BE46"/>
  <c r="Y15" i="26"/>
  <c r="U16" s="1"/>
  <c r="F35" i="17"/>
  <c r="O14" i="15"/>
  <c r="BA35"/>
  <c r="BB35"/>
  <c r="G24"/>
  <c r="AU38"/>
  <c r="X38"/>
  <c r="AW38"/>
  <c r="AW76" s="1"/>
  <c r="BA38"/>
  <c r="AS47"/>
  <c r="BO47"/>
  <c r="Z47"/>
  <c r="BI31"/>
  <c r="AM35"/>
  <c r="AL35"/>
  <c r="AS31"/>
  <c r="AS76" s="1"/>
  <c r="Z35"/>
  <c r="AI38"/>
  <c r="AR38"/>
  <c r="AO38"/>
  <c r="BP38"/>
  <c r="R32" i="16"/>
  <c r="BB38" i="15"/>
  <c r="BC38"/>
  <c r="D21"/>
  <c r="F21"/>
  <c r="G21"/>
  <c r="AC40"/>
  <c r="X40"/>
  <c r="AW40"/>
  <c r="BD40"/>
  <c r="BJ40"/>
  <c r="BI76" s="1"/>
  <c r="BT40"/>
  <c r="AH40"/>
  <c r="BE40"/>
  <c r="AV40"/>
  <c r="BC40"/>
  <c r="BI40"/>
  <c r="BS40"/>
  <c r="Y40"/>
  <c r="Y76" s="1"/>
  <c r="AR40"/>
  <c r="BM40"/>
  <c r="AB40"/>
  <c r="AI40"/>
  <c r="AI76" s="1"/>
  <c r="AO40"/>
  <c r="AS40"/>
  <c r="AY40"/>
  <c r="BF40"/>
  <c r="BE76" s="1"/>
  <c r="BN40"/>
  <c r="R34" i="16"/>
  <c r="AN40" i="15"/>
  <c r="AX40"/>
  <c r="H21" i="20"/>
  <c r="X45" i="15"/>
  <c r="BB45"/>
  <c r="AR45"/>
  <c r="BC45"/>
  <c r="AF45"/>
  <c r="AV45"/>
  <c r="BQ45"/>
  <c r="AL45"/>
  <c r="AU45"/>
  <c r="BL45"/>
  <c r="J25"/>
  <c r="BK35"/>
  <c r="BL35"/>
  <c r="W35"/>
  <c r="D24"/>
  <c r="BH38"/>
  <c r="AV38"/>
  <c r="BD38"/>
  <c r="BG38"/>
  <c r="AH38"/>
  <c r="BB47"/>
  <c r="H23" i="20"/>
  <c r="AL47" i="15"/>
  <c r="BA31"/>
  <c r="AM31"/>
  <c r="BL31"/>
  <c r="AA35"/>
  <c r="BG35"/>
  <c r="R29" i="16"/>
  <c r="D19" i="15"/>
  <c r="F19"/>
  <c r="AC36"/>
  <c r="AN36"/>
  <c r="H12" i="20"/>
  <c r="BN36" i="15"/>
  <c r="BM76" s="1"/>
  <c r="BR84" s="1"/>
  <c r="H11" i="20"/>
  <c r="AF35" i="15"/>
  <c r="AG35"/>
  <c r="BM38"/>
  <c r="BN38"/>
  <c r="BO38"/>
  <c r="AN38"/>
  <c r="AO76" s="1"/>
  <c r="BL47"/>
  <c r="W47"/>
  <c r="AT47"/>
  <c r="AT31"/>
  <c r="AY82" s="1"/>
  <c r="AU35"/>
  <c r="AG31"/>
  <c r="BF31"/>
  <c r="BO35"/>
  <c r="BO76" s="1"/>
  <c r="Y187" i="26"/>
  <c r="U188" s="1"/>
  <c r="Y192"/>
  <c r="U193" s="1"/>
  <c r="Y185"/>
  <c r="U186" s="1"/>
  <c r="Y190"/>
  <c r="U191" s="1"/>
  <c r="Y182"/>
  <c r="Y186"/>
  <c r="U187" s="1"/>
  <c r="Y189"/>
  <c r="U190" s="1"/>
  <c r="Y194"/>
  <c r="Y188"/>
  <c r="U189" s="1"/>
  <c r="Y191"/>
  <c r="U192" s="1"/>
  <c r="Y193"/>
  <c r="U194" s="1"/>
  <c r="U41"/>
  <c r="Y41"/>
  <c r="Y12"/>
  <c r="U13" s="1"/>
  <c r="Y14"/>
  <c r="U15" s="1"/>
  <c r="Y6"/>
  <c r="Y16"/>
  <c r="Y13"/>
  <c r="U14" s="1"/>
  <c r="Y9"/>
  <c r="U10" s="1"/>
  <c r="Y11"/>
  <c r="U12" s="1"/>
  <c r="Y60"/>
  <c r="U61" s="1"/>
  <c r="Y63"/>
  <c r="U64" s="1"/>
  <c r="Y59"/>
  <c r="U60" s="1"/>
  <c r="Y64"/>
  <c r="U65" s="1"/>
  <c r="Y58"/>
  <c r="U59" s="1"/>
  <c r="Y66"/>
  <c r="Y57"/>
  <c r="U58" s="1"/>
  <c r="Y62"/>
  <c r="U63" s="1"/>
  <c r="Y65"/>
  <c r="U66" s="1"/>
  <c r="Y54"/>
  <c r="Y61"/>
  <c r="U62" s="1"/>
  <c r="Y134"/>
  <c r="U135" s="1"/>
  <c r="Y139"/>
  <c r="U140" s="1"/>
  <c r="Y135"/>
  <c r="U136" s="1"/>
  <c r="Y132"/>
  <c r="U133" s="1"/>
  <c r="Y137"/>
  <c r="U138" s="1"/>
  <c r="Y140"/>
  <c r="U141" s="1"/>
  <c r="Y129"/>
  <c r="Y133"/>
  <c r="U134" s="1"/>
  <c r="Y136"/>
  <c r="U137" s="1"/>
  <c r="Y141"/>
  <c r="Y138"/>
  <c r="U139" s="1"/>
  <c r="Y107"/>
  <c r="U108" s="1"/>
  <c r="Y109"/>
  <c r="U110" s="1"/>
  <c r="Y105"/>
  <c r="U106" s="1"/>
  <c r="Y113"/>
  <c r="U114" s="1"/>
  <c r="Y87"/>
  <c r="Y85"/>
  <c r="U86" s="1"/>
  <c r="F8" i="1"/>
  <c r="BI29" i="14"/>
  <c r="BI28" s="1"/>
  <c r="BI5" i="13"/>
  <c r="AO13" i="14"/>
  <c r="BO13"/>
  <c r="BO12" s="1"/>
  <c r="L8" s="1"/>
  <c r="AO15"/>
  <c r="BE5" i="13" s="1"/>
  <c r="BO19" i="14"/>
  <c r="BO18" s="1"/>
  <c r="L12" s="1"/>
  <c r="L13" s="1"/>
  <c r="BO6"/>
  <c r="BO5" s="1"/>
  <c r="L5" s="1"/>
  <c r="S5"/>
  <c r="BI34"/>
  <c r="BI33" s="1"/>
  <c r="AA20" s="1"/>
  <c r="BL5" i="13"/>
  <c r="AO3" i="14"/>
  <c r="AI3"/>
  <c r="AX9"/>
  <c r="V33"/>
  <c r="V34" s="1"/>
  <c r="BM77" i="1"/>
  <c r="BI24" i="14"/>
  <c r="BI23" s="1"/>
  <c r="F14" s="1"/>
  <c r="AM16"/>
  <c r="BF5" i="13"/>
  <c r="AM15" i="14"/>
  <c r="BC5" i="13" s="1"/>
  <c r="AM79" i="1"/>
  <c r="AM81" s="1"/>
  <c r="BI19" i="14"/>
  <c r="BI18" s="1"/>
  <c r="F12" s="1"/>
  <c r="F13" s="1"/>
  <c r="U67"/>
  <c r="D49" s="1"/>
  <c r="U71"/>
  <c r="D53" s="1"/>
  <c r="U75"/>
  <c r="D57" s="1"/>
  <c r="U79"/>
  <c r="U83"/>
  <c r="U66"/>
  <c r="D48" s="1"/>
  <c r="U70"/>
  <c r="D52" s="1"/>
  <c r="U74"/>
  <c r="D56" s="1"/>
  <c r="U78"/>
  <c r="D60" s="1"/>
  <c r="U82"/>
  <c r="U65"/>
  <c r="D47" s="1"/>
  <c r="U73"/>
  <c r="D55" s="1"/>
  <c r="U81"/>
  <c r="U72"/>
  <c r="D54" s="1"/>
  <c r="U80"/>
  <c r="U69"/>
  <c r="D51" s="1"/>
  <c r="U85"/>
  <c r="U68"/>
  <c r="D50" s="1"/>
  <c r="U84"/>
  <c r="U76"/>
  <c r="D58" s="1"/>
  <c r="U77"/>
  <c r="D59" s="1"/>
  <c r="CY31" i="15"/>
  <c r="CZ36"/>
  <c r="CY37" s="1"/>
  <c r="CZ37"/>
  <c r="CY32"/>
  <c r="E16" i="26"/>
  <c r="I16"/>
  <c r="M16"/>
  <c r="D16"/>
  <c r="D18" s="1"/>
  <c r="H16"/>
  <c r="L16"/>
  <c r="L18" s="1"/>
  <c r="E24" s="1"/>
  <c r="J24" s="1"/>
  <c r="F16"/>
  <c r="K16"/>
  <c r="J16"/>
  <c r="G16"/>
  <c r="Y168"/>
  <c r="U168"/>
  <c r="CZ33" i="15"/>
  <c r="CY34" s="1"/>
  <c r="CY28"/>
  <c r="CB51"/>
  <c r="Y17" i="27"/>
  <c r="U17"/>
  <c r="Y67"/>
  <c r="U67"/>
  <c r="Y88"/>
  <c r="U88"/>
  <c r="Y41"/>
  <c r="U41"/>
  <c r="Y142"/>
  <c r="U142"/>
  <c r="BU7" i="14"/>
  <c r="BT7"/>
  <c r="BV7"/>
  <c r="AY75" i="1"/>
  <c r="AY76"/>
  <c r="CB85"/>
  <c r="CB86"/>
  <c r="CZ32" i="15"/>
  <c r="CY33" s="1"/>
  <c r="CY27"/>
  <c r="AB33" i="24"/>
  <c r="AB37"/>
  <c r="AB44"/>
  <c r="AB48"/>
  <c r="AB29"/>
  <c r="AB31"/>
  <c r="AB32"/>
  <c r="AB36"/>
  <c r="AB40"/>
  <c r="AB43"/>
  <c r="AB47"/>
  <c r="AB39"/>
  <c r="AB46"/>
  <c r="AB38"/>
  <c r="AB45"/>
  <c r="AB35"/>
  <c r="AB50"/>
  <c r="AB34"/>
  <c r="AB49"/>
  <c r="AB30"/>
  <c r="AB42"/>
  <c r="AB41"/>
  <c r="BO14" i="14"/>
  <c r="V22" i="17"/>
  <c r="W22" s="1"/>
  <c r="X22" s="1"/>
  <c r="AB35" i="11"/>
  <c r="AB39"/>
  <c r="AB42"/>
  <c r="AB46"/>
  <c r="AB50"/>
  <c r="AB29"/>
  <c r="AB31"/>
  <c r="AB32"/>
  <c r="AB34"/>
  <c r="AB38"/>
  <c r="AB41"/>
  <c r="AB45"/>
  <c r="AB49"/>
  <c r="AB36"/>
  <c r="AB43"/>
  <c r="AB30"/>
  <c r="AB48"/>
  <c r="AB40"/>
  <c r="AB37"/>
  <c r="AB33"/>
  <c r="AB47"/>
  <c r="AB44"/>
  <c r="CH49" i="15"/>
  <c r="CH50"/>
  <c r="K7"/>
  <c r="B11" i="16"/>
  <c r="FI31" i="15"/>
  <c r="FL31"/>
  <c r="EG25" i="1"/>
  <c r="EN30"/>
  <c r="W75"/>
  <c r="AC75"/>
  <c r="CB50" i="15"/>
  <c r="CB93"/>
  <c r="AA75" i="1"/>
  <c r="BG75"/>
  <c r="AI75"/>
  <c r="BG76" i="15"/>
  <c r="CH88" i="1"/>
  <c r="EG12" i="15"/>
  <c r="EK6" s="1"/>
  <c r="CE50"/>
  <c r="CE49"/>
  <c r="CE40" i="1"/>
  <c r="AC76" i="15"/>
  <c r="D17" i="1"/>
  <c r="F17"/>
  <c r="G17"/>
  <c r="CB8"/>
  <c r="CB9"/>
  <c r="U68" i="17"/>
  <c r="C56" s="1"/>
  <c r="U72"/>
  <c r="C60" s="1"/>
  <c r="U76"/>
  <c r="F56" s="1"/>
  <c r="U80"/>
  <c r="F60" s="1"/>
  <c r="U84"/>
  <c r="L56" s="1"/>
  <c r="U66"/>
  <c r="C54" s="1"/>
  <c r="U70"/>
  <c r="C58" s="1"/>
  <c r="U74"/>
  <c r="F54" s="1"/>
  <c r="U78"/>
  <c r="F58" s="1"/>
  <c r="U82"/>
  <c r="L54" s="1"/>
  <c r="U65"/>
  <c r="C53" s="1"/>
  <c r="U73"/>
  <c r="F53" s="1"/>
  <c r="U81"/>
  <c r="L53" s="1"/>
  <c r="U71"/>
  <c r="C59" s="1"/>
  <c r="U79"/>
  <c r="F59" s="1"/>
  <c r="U69"/>
  <c r="C57" s="1"/>
  <c r="U85"/>
  <c r="L57" s="1"/>
  <c r="U67"/>
  <c r="C55" s="1"/>
  <c r="U83"/>
  <c r="L55" s="1"/>
  <c r="U75"/>
  <c r="F55" s="1"/>
  <c r="U77"/>
  <c r="F57" s="1"/>
  <c r="Y115" i="26"/>
  <c r="U115"/>
  <c r="BU8" i="14"/>
  <c r="BT8"/>
  <c r="BV8"/>
  <c r="AG52" i="23"/>
  <c r="AG54"/>
  <c r="AG56"/>
  <c r="AG60"/>
  <c r="AG64"/>
  <c r="AG68"/>
  <c r="AG49"/>
  <c r="AG50"/>
  <c r="AG57"/>
  <c r="AG61"/>
  <c r="AG65"/>
  <c r="AG69"/>
  <c r="AG53"/>
  <c r="AG62"/>
  <c r="AG59"/>
  <c r="AG67"/>
  <c r="AG58"/>
  <c r="AG63"/>
  <c r="AG51"/>
  <c r="AG66"/>
  <c r="AG55"/>
  <c r="E16" i="27"/>
  <c r="D16"/>
  <c r="D18" s="1"/>
  <c r="CE86" i="1"/>
  <c r="CE85"/>
  <c r="DX6" i="15"/>
  <c r="DX37" s="1"/>
  <c r="DG7"/>
  <c r="DG8" s="1"/>
  <c r="DG9" s="1"/>
  <c r="CE93"/>
  <c r="CE94"/>
  <c r="D9" i="1"/>
  <c r="D8"/>
  <c r="G9"/>
  <c r="F9"/>
  <c r="AX7" i="14"/>
  <c r="AX27" s="1"/>
  <c r="AW7"/>
  <c r="AV7"/>
  <c r="Z18"/>
  <c r="AD20"/>
  <c r="AD21"/>
  <c r="AD22"/>
  <c r="AW76" i="1"/>
  <c r="AW75"/>
  <c r="CB40"/>
  <c r="D14"/>
  <c r="G14"/>
  <c r="F14"/>
  <c r="AU77" i="15"/>
  <c r="CY29"/>
  <c r="CZ34"/>
  <c r="CY35" s="1"/>
  <c r="CY30"/>
  <c r="CZ35"/>
  <c r="CY36" s="1"/>
  <c r="AB29" i="18"/>
  <c r="AB31"/>
  <c r="AB32"/>
  <c r="AB38"/>
  <c r="AB41"/>
  <c r="AB45"/>
  <c r="AB49"/>
  <c r="AB30"/>
  <c r="AB37"/>
  <c r="AB44"/>
  <c r="AB48"/>
  <c r="AB36"/>
  <c r="AB43"/>
  <c r="AB35"/>
  <c r="AB42"/>
  <c r="AB50"/>
  <c r="AB33"/>
  <c r="AB46"/>
  <c r="AB40"/>
  <c r="AB39"/>
  <c r="AB34"/>
  <c r="AB47"/>
  <c r="L24" i="17"/>
  <c r="S20"/>
  <c r="I24"/>
  <c r="V45"/>
  <c r="CB8" i="15"/>
  <c r="CB9" s="1"/>
  <c r="FI32"/>
  <c r="FJ32" s="1"/>
  <c r="FL32"/>
  <c r="FM32" s="1"/>
  <c r="C44" i="17"/>
  <c r="E46"/>
  <c r="C48"/>
  <c r="E51"/>
  <c r="C39"/>
  <c r="E45"/>
  <c r="E47"/>
  <c r="E50"/>
  <c r="E49"/>
  <c r="Y15" i="15"/>
  <c r="D9" i="18"/>
  <c r="ER116" i="15"/>
  <c r="EN117"/>
  <c r="S13" i="16"/>
  <c r="V14" i="17"/>
  <c r="E34"/>
  <c r="EN116" i="15"/>
  <c r="ER117"/>
  <c r="E35" i="17"/>
  <c r="Y115" i="27"/>
  <c r="U115"/>
  <c r="Y195"/>
  <c r="U195"/>
  <c r="GC87" i="15"/>
  <c r="GC84"/>
  <c r="CH95"/>
  <c r="Y168" i="27"/>
  <c r="U168"/>
  <c r="AS75" i="1"/>
  <c r="BO75"/>
  <c r="BQ76" i="15"/>
  <c r="BC75" i="1"/>
  <c r="AG75"/>
  <c r="X75"/>
  <c r="BL6" i="14" s="1"/>
  <c r="BL5" s="1"/>
  <c r="I5" s="1"/>
  <c r="BE75" i="1"/>
  <c r="AO75"/>
  <c r="CH42"/>
  <c r="CH87"/>
  <c r="AY81"/>
  <c r="AW81" s="1"/>
  <c r="W76" i="15"/>
  <c r="CE51"/>
  <c r="AY77"/>
  <c r="BS76"/>
  <c r="X76"/>
  <c r="I5" i="17" s="1"/>
  <c r="BL7" i="14" s="1"/>
  <c r="AM14" i="17" l="1"/>
  <c r="BA5" i="19" s="1"/>
  <c r="F12" i="17"/>
  <c r="AM80" i="15"/>
  <c r="AM82" s="1"/>
  <c r="AB3" i="17"/>
  <c r="AN3"/>
  <c r="AB30"/>
  <c r="I14"/>
  <c r="BL25" i="14" s="1"/>
  <c r="BE5" i="19"/>
  <c r="AN15" i="17"/>
  <c r="AM12"/>
  <c r="F8"/>
  <c r="AN14"/>
  <c r="BB5" i="19" s="1"/>
  <c r="I12" i="17"/>
  <c r="BL20" i="14" s="1"/>
  <c r="BI78" i="15"/>
  <c r="AW77"/>
  <c r="AU76"/>
  <c r="BA76"/>
  <c r="AA19" i="17" s="1"/>
  <c r="BS78" i="15"/>
  <c r="AG76"/>
  <c r="AY76"/>
  <c r="U88" i="26"/>
  <c r="Y88"/>
  <c r="Y142"/>
  <c r="U142"/>
  <c r="U17"/>
  <c r="Y17"/>
  <c r="Y67"/>
  <c r="U67"/>
  <c r="U195"/>
  <c r="Y195"/>
  <c r="BV10" i="14"/>
  <c r="CB42" i="1"/>
  <c r="AN12" i="17"/>
  <c r="I8"/>
  <c r="V50"/>
  <c r="X54" s="1"/>
  <c r="CU13" i="15"/>
  <c r="BT10" i="14"/>
  <c r="BX7"/>
  <c r="BI14"/>
  <c r="F15"/>
  <c r="GL8" i="15"/>
  <c r="GL10" s="1"/>
  <c r="GL28"/>
  <c r="CY57"/>
  <c r="Y32" i="24" s="1"/>
  <c r="Z32" s="1"/>
  <c r="Z41" s="1"/>
  <c r="CX57" i="15"/>
  <c r="DA57"/>
  <c r="CZ57"/>
  <c r="BJ5" i="19"/>
  <c r="BI6" i="14"/>
  <c r="BI5" s="1"/>
  <c r="Y78" i="1"/>
  <c r="FM31" i="15"/>
  <c r="FM36" s="1"/>
  <c r="FL36"/>
  <c r="BI20" i="14"/>
  <c r="F13" i="17"/>
  <c r="AO14" i="14"/>
  <c r="BB5" i="13" s="1"/>
  <c r="AY5"/>
  <c r="BR83" i="15"/>
  <c r="BR87" s="1"/>
  <c r="BM78"/>
  <c r="BS80" s="1"/>
  <c r="AN15" i="14"/>
  <c r="BD5" i="13" s="1"/>
  <c r="BL19" i="14"/>
  <c r="BL18" s="1"/>
  <c r="I12" s="1"/>
  <c r="I13" s="1"/>
  <c r="V39"/>
  <c r="BS77" i="1"/>
  <c r="BS80" s="1"/>
  <c r="I15" i="17"/>
  <c r="BH5" i="19"/>
  <c r="AT3" i="17"/>
  <c r="BL30" i="14" s="1"/>
  <c r="CH96" i="15"/>
  <c r="E32" i="17"/>
  <c r="E33"/>
  <c r="AW82" i="15"/>
  <c r="AW83"/>
  <c r="L3" i="24" s="1"/>
  <c r="AN16" i="14"/>
  <c r="BG5" i="13"/>
  <c r="BL24" i="14"/>
  <c r="BL23" s="1"/>
  <c r="I14" s="1"/>
  <c r="CE52" i="15"/>
  <c r="AM13" i="14"/>
  <c r="BI13"/>
  <c r="BI12" s="1"/>
  <c r="F8" s="1"/>
  <c r="AE78" i="1"/>
  <c r="AN13" i="14"/>
  <c r="BL13"/>
  <c r="BL12" s="1"/>
  <c r="I8" s="1"/>
  <c r="CX2" i="1"/>
  <c r="CV3" s="1"/>
  <c r="DG3"/>
  <c r="AO16" i="14"/>
  <c r="BH5" i="13"/>
  <c r="BO24" i="14"/>
  <c r="BO23" s="1"/>
  <c r="L14" s="1"/>
  <c r="AU5" i="19"/>
  <c r="CB41" i="1"/>
  <c r="CH51" i="15"/>
  <c r="CB10"/>
  <c r="CB11" s="1"/>
  <c r="CE95"/>
  <c r="CE87" i="1"/>
  <c r="CB10"/>
  <c r="CB53" i="15"/>
  <c r="CB94"/>
  <c r="CB87" i="1"/>
  <c r="CB52" i="15"/>
  <c r="BM5" i="13"/>
  <c r="BL3" i="14"/>
  <c r="BL34"/>
  <c r="BL33" s="1"/>
  <c r="AA21" s="1"/>
  <c r="F15" i="17"/>
  <c r="AS3"/>
  <c r="BI30" i="14" s="1"/>
  <c r="BG5" i="19"/>
  <c r="CY87" i="15"/>
  <c r="FJ31"/>
  <c r="FI36"/>
  <c r="AM3" i="14"/>
  <c r="AG3"/>
  <c r="AA3"/>
  <c r="AK77" i="1"/>
  <c r="AV9" i="14"/>
  <c r="AV27" s="1"/>
  <c r="BI44"/>
  <c r="BI43" s="1"/>
  <c r="CU13" i="1"/>
  <c r="AM15" i="17"/>
  <c r="F14"/>
  <c r="BI25" i="14" s="1"/>
  <c r="AW78" i="15"/>
  <c r="AW80" s="1"/>
  <c r="BD5" i="19"/>
  <c r="BJ5" i="13"/>
  <c r="BL29" i="14"/>
  <c r="BL28" s="1"/>
  <c r="I15" s="1"/>
  <c r="BK5" i="19"/>
  <c r="AA20" i="17"/>
  <c r="AB4" i="14"/>
  <c r="AN13" i="17"/>
  <c r="AY5" i="19" s="1"/>
  <c r="G18" i="26"/>
  <c r="F31" i="13" s="1"/>
  <c r="K18" i="26"/>
  <c r="F18"/>
  <c r="F30" i="13" s="1"/>
  <c r="J18" i="26"/>
  <c r="V34" i="11" s="1"/>
  <c r="H18" i="26"/>
  <c r="E18"/>
  <c r="M18"/>
  <c r="I18"/>
  <c r="BI5" i="19"/>
  <c r="AU3" i="17"/>
  <c r="BO30" i="14" s="1"/>
  <c r="Y79" i="15"/>
  <c r="V51" i="17" s="1"/>
  <c r="F5"/>
  <c r="BN5" i="13"/>
  <c r="BO34" i="14"/>
  <c r="BO33" s="1"/>
  <c r="AA22" s="1"/>
  <c r="BN3"/>
  <c r="AA21" i="17"/>
  <c r="BL5" i="19"/>
  <c r="CE41" i="1"/>
  <c r="GN10" i="15"/>
  <c r="GN12"/>
  <c r="GS32" s="1"/>
  <c r="EM13"/>
  <c r="EM17"/>
  <c r="EM19"/>
  <c r="EM10"/>
  <c r="GN11"/>
  <c r="GS31" s="1"/>
  <c r="EM14"/>
  <c r="EM15"/>
  <c r="GN18"/>
  <c r="GL18" s="1"/>
  <c r="GN17"/>
  <c r="GL17" s="1"/>
  <c r="EM20"/>
  <c r="EM21"/>
  <c r="GN21"/>
  <c r="GL21" s="1"/>
  <c r="GN13"/>
  <c r="GL13" s="1"/>
  <c r="GN20"/>
  <c r="GL20" s="1"/>
  <c r="EM22"/>
  <c r="GN14"/>
  <c r="GL14" s="1"/>
  <c r="EM18"/>
  <c r="GN19"/>
  <c r="GL19" s="1"/>
  <c r="GN22"/>
  <c r="GL22" s="1"/>
  <c r="GS42" s="1"/>
  <c r="GN16"/>
  <c r="GL16" s="1"/>
  <c r="EM11"/>
  <c r="ER31" s="1"/>
  <c r="EM12"/>
  <c r="ER32" s="1"/>
  <c r="GN15"/>
  <c r="GL15" s="1"/>
  <c r="EM16"/>
  <c r="AB3" i="14"/>
  <c r="AB5" s="1"/>
  <c r="AN3"/>
  <c r="AW9"/>
  <c r="AW27" s="1"/>
  <c r="V36"/>
  <c r="V37" s="1"/>
  <c r="BI77" i="1"/>
  <c r="BK5" i="13"/>
  <c r="BO29" i="14"/>
  <c r="BO28" s="1"/>
  <c r="L15" s="1"/>
  <c r="AM17"/>
  <c r="F17"/>
  <c r="AB20"/>
  <c r="AF20" s="1"/>
  <c r="E17" s="1"/>
  <c r="I13" i="17"/>
  <c r="CE53" i="15"/>
  <c r="CH43" i="1"/>
  <c r="CB95" i="15"/>
  <c r="CH89" i="1"/>
  <c r="BU10" i="14"/>
  <c r="AE79" i="15"/>
  <c r="AW77" i="1"/>
  <c r="AW79" s="1"/>
  <c r="AA30" i="17" l="1"/>
  <c r="AD30" s="1"/>
  <c r="AK78" i="15"/>
  <c r="AM3" i="17"/>
  <c r="AP3" s="1"/>
  <c r="AG3"/>
  <c r="AJ3" s="1"/>
  <c r="AG5" s="1"/>
  <c r="AA3"/>
  <c r="BF5" i="19"/>
  <c r="AO15" i="17"/>
  <c r="BT12" i="14"/>
  <c r="BT14" s="1"/>
  <c r="BI27"/>
  <c r="BL27" s="1"/>
  <c r="BM27" s="1"/>
  <c r="L3" i="11" s="1"/>
  <c r="N3" s="1"/>
  <c r="AG6" i="17"/>
  <c r="AJ6" s="1"/>
  <c r="AJ5"/>
  <c r="CE55" i="15"/>
  <c r="GK15"/>
  <c r="GS34"/>
  <c r="GK19"/>
  <c r="GS38"/>
  <c r="EK25"/>
  <c r="ER30"/>
  <c r="AD3" i="14"/>
  <c r="AA5"/>
  <c r="AO7" i="17"/>
  <c r="AM8"/>
  <c r="AM7"/>
  <c r="AO8"/>
  <c r="AL8"/>
  <c r="AN7"/>
  <c r="AN8"/>
  <c r="AO5"/>
  <c r="AO6" s="1"/>
  <c r="AX5" i="13"/>
  <c r="CH97" i="15"/>
  <c r="FX45"/>
  <c r="GL60"/>
  <c r="GS37"/>
  <c r="GK18"/>
  <c r="AO17" i="14"/>
  <c r="AO19" s="1"/>
  <c r="AB22"/>
  <c r="AF22" s="1"/>
  <c r="E19" s="1"/>
  <c r="L19"/>
  <c r="CE88" i="1"/>
  <c r="BI35" i="14"/>
  <c r="AM16" i="17"/>
  <c r="AB19"/>
  <c r="AF19" s="1"/>
  <c r="E17" s="1"/>
  <c r="F17"/>
  <c r="AB55" i="24"/>
  <c r="AA55"/>
  <c r="J21" s="1"/>
  <c r="J22" s="1"/>
  <c r="AV5" i="19"/>
  <c r="AN14" i="14"/>
  <c r="BA5" i="13" s="1"/>
  <c r="GK20" i="15"/>
  <c r="GS39"/>
  <c r="GK21"/>
  <c r="GS40"/>
  <c r="V52" i="17"/>
  <c r="AC54" s="1"/>
  <c r="AA54"/>
  <c r="AE54" s="1"/>
  <c r="S4" i="1"/>
  <c r="J4"/>
  <c r="J5"/>
  <c r="AP3" i="14"/>
  <c r="AM14"/>
  <c r="AZ5" i="13" s="1"/>
  <c r="CB55" i="15"/>
  <c r="CE97"/>
  <c r="CE96"/>
  <c r="BL14" i="14"/>
  <c r="CH90" i="1"/>
  <c r="CE54" i="15"/>
  <c r="AM5" i="17"/>
  <c r="CB89" i="1"/>
  <c r="CE42"/>
  <c r="CH52" i="15"/>
  <c r="GS36"/>
  <c r="GK17"/>
  <c r="GK22"/>
  <c r="GS41"/>
  <c r="BL35" i="14"/>
  <c r="I18" i="17"/>
  <c r="AN16"/>
  <c r="AN18" s="1"/>
  <c r="AB20"/>
  <c r="AF20" s="1"/>
  <c r="E18" s="1"/>
  <c r="L4" i="24"/>
  <c r="N3"/>
  <c r="GK14" i="15"/>
  <c r="GS33"/>
  <c r="CE43" i="1"/>
  <c r="CE44"/>
  <c r="CZ107" i="15"/>
  <c r="FX48" s="1"/>
  <c r="CY107"/>
  <c r="CX107"/>
  <c r="AZ27" i="14"/>
  <c r="AW28" s="1"/>
  <c r="AV28"/>
  <c r="AI7" i="17"/>
  <c r="AG8"/>
  <c r="AJ8" s="1"/>
  <c r="AI8"/>
  <c r="AG7"/>
  <c r="AF8"/>
  <c r="AI5"/>
  <c r="AI6" s="1"/>
  <c r="CH44" i="1"/>
  <c r="GK16" i="15"/>
  <c r="GS35"/>
  <c r="GL25"/>
  <c r="GS30"/>
  <c r="BO35" i="14"/>
  <c r="AB21" i="17"/>
  <c r="AF21" s="1"/>
  <c r="AO16"/>
  <c r="AO18" s="1"/>
  <c r="BI7" i="14"/>
  <c r="CU11" i="15"/>
  <c r="V51" i="14"/>
  <c r="X55" s="1"/>
  <c r="D61" i="13"/>
  <c r="AJ3" i="14"/>
  <c r="AN17"/>
  <c r="AN19" s="1"/>
  <c r="AB21"/>
  <c r="AF21" s="1"/>
  <c r="E18" s="1"/>
  <c r="I18"/>
  <c r="CB96" i="15"/>
  <c r="CB97" s="1"/>
  <c r="AW5" i="13"/>
  <c r="N27" i="23"/>
  <c r="N28" s="1"/>
  <c r="L3" i="18"/>
  <c r="L4" s="1"/>
  <c r="V40" i="14"/>
  <c r="V30" s="1"/>
  <c r="V31"/>
  <c r="BI8"/>
  <c r="V52" s="1"/>
  <c r="F5"/>
  <c r="CU11" i="1" s="1"/>
  <c r="DX7" i="15"/>
  <c r="FI67"/>
  <c r="DA107"/>
  <c r="GL59"/>
  <c r="L21" i="24"/>
  <c r="L22" s="1"/>
  <c r="CH91" i="1"/>
  <c r="CB88"/>
  <c r="CB12" i="15"/>
  <c r="CB13" s="1"/>
  <c r="AN5" i="17"/>
  <c r="AN6" s="1"/>
  <c r="CB11" i="1"/>
  <c r="CB54" i="15"/>
  <c r="CB43" i="1"/>
  <c r="CH92"/>
  <c r="CH93" s="1"/>
  <c r="AA5" i="17" l="1"/>
  <c r="AA6" s="1"/>
  <c r="AD6" s="1"/>
  <c r="AM19" i="14"/>
  <c r="L4" i="11"/>
  <c r="S4" s="1"/>
  <c r="E42" i="14" s="1"/>
  <c r="AF11" i="17"/>
  <c r="AV12" i="14" s="1"/>
  <c r="AM13" i="17"/>
  <c r="AA4" i="14"/>
  <c r="AD3" i="17"/>
  <c r="AJ7"/>
  <c r="AP7"/>
  <c r="CB98" i="15"/>
  <c r="GW63"/>
  <c r="GW65"/>
  <c r="GW67"/>
  <c r="GW68"/>
  <c r="GY70"/>
  <c r="GW64"/>
  <c r="GW66"/>
  <c r="FX82"/>
  <c r="GI82"/>
  <c r="GE88" s="1"/>
  <c r="GH88" s="1"/>
  <c r="FX81"/>
  <c r="H21" i="24"/>
  <c r="N4"/>
  <c r="P5" s="1"/>
  <c r="AN8" i="14"/>
  <c r="AN9"/>
  <c r="AM8"/>
  <c r="AM9"/>
  <c r="AO8"/>
  <c r="AO9"/>
  <c r="AL9"/>
  <c r="E11" s="1"/>
  <c r="AO6"/>
  <c r="AO7" s="1"/>
  <c r="CD19" i="1"/>
  <c r="CD10"/>
  <c r="CC19"/>
  <c r="FX75" i="15"/>
  <c r="FX76"/>
  <c r="GI76"/>
  <c r="GE87" s="1"/>
  <c r="GH87" s="1"/>
  <c r="AB10" i="14"/>
  <c r="AA10"/>
  <c r="AD10" s="1"/>
  <c r="Z10"/>
  <c r="AD5" i="17"/>
  <c r="H21" i="11"/>
  <c r="N4"/>
  <c r="P5" s="1"/>
  <c r="GL78" i="15"/>
  <c r="GL79"/>
  <c r="GY72" s="1"/>
  <c r="AD5" i="14"/>
  <c r="AA7" s="1"/>
  <c r="CH45" i="1"/>
  <c r="AN6" i="14"/>
  <c r="AN7" s="1"/>
  <c r="CE45" i="1"/>
  <c r="CE57" i="15"/>
  <c r="CB12" i="1"/>
  <c r="CE98" i="15"/>
  <c r="CB56"/>
  <c r="CE90" i="1"/>
  <c r="CE92"/>
  <c r="CE56" i="15"/>
  <c r="CB44" i="1"/>
  <c r="CU12"/>
  <c r="CU14" s="1"/>
  <c r="CY11" s="1"/>
  <c r="CZ11" s="1"/>
  <c r="CZ12" s="1"/>
  <c r="AG8" i="14"/>
  <c r="AI9"/>
  <c r="AG9"/>
  <c r="AF9"/>
  <c r="AI8"/>
  <c r="AI6"/>
  <c r="AI7" s="1"/>
  <c r="CH53" i="15"/>
  <c r="AM6" i="17"/>
  <c r="AP6" s="1"/>
  <c r="AP5"/>
  <c r="CH99" i="15"/>
  <c r="CX2"/>
  <c r="CV3" s="1"/>
  <c r="DG3"/>
  <c r="V53" i="14"/>
  <c r="AA55"/>
  <c r="CU12" i="15"/>
  <c r="CU14"/>
  <c r="AW32" i="14"/>
  <c r="I10" s="1"/>
  <c r="AX33"/>
  <c r="L11" s="1"/>
  <c r="M11" s="1"/>
  <c r="AV32"/>
  <c r="AW33"/>
  <c r="I11" s="1"/>
  <c r="J11" s="1"/>
  <c r="AX32"/>
  <c r="L10" s="1"/>
  <c r="AV33"/>
  <c r="AX28"/>
  <c r="CE91" i="1"/>
  <c r="CE89"/>
  <c r="CH94"/>
  <c r="CH46"/>
  <c r="CB90"/>
  <c r="CB99" i="15"/>
  <c r="AG6" i="14"/>
  <c r="S4" i="24"/>
  <c r="CB13" i="1"/>
  <c r="AM6" i="14"/>
  <c r="CB14" i="15"/>
  <c r="CB15"/>
  <c r="CH98"/>
  <c r="AP8" i="17"/>
  <c r="AX5" i="19" l="1"/>
  <c r="AM18" i="17"/>
  <c r="AB5"/>
  <c r="AB6" s="1"/>
  <c r="AD4" i="14"/>
  <c r="Z8" i="17"/>
  <c r="E11" s="1"/>
  <c r="AA8"/>
  <c r="AB8"/>
  <c r="I11" s="1"/>
  <c r="J11" s="1"/>
  <c r="AA7"/>
  <c r="F10" s="1"/>
  <c r="AB7"/>
  <c r="V22" i="14"/>
  <c r="AD7"/>
  <c r="AA8"/>
  <c r="AD8" s="1"/>
  <c r="H22" i="11"/>
  <c r="D29"/>
  <c r="AC55" i="14"/>
  <c r="AE55" s="1"/>
  <c r="D38" s="1"/>
  <c r="D39"/>
  <c r="CH100" i="15"/>
  <c r="CH101" s="1"/>
  <c r="AM7" i="14"/>
  <c r="AP7" s="1"/>
  <c r="AP6"/>
  <c r="AJ6"/>
  <c r="AG7"/>
  <c r="AJ7" s="1"/>
  <c r="CE58" i="15"/>
  <c r="CE99"/>
  <c r="CB14" i="1"/>
  <c r="CB15" s="1"/>
  <c r="CB16" s="1"/>
  <c r="CB17" s="1"/>
  <c r="D18"/>
  <c r="G18"/>
  <c r="F18"/>
  <c r="D29" i="24"/>
  <c r="H22"/>
  <c r="P21"/>
  <c r="CE46" i="1"/>
  <c r="CE93"/>
  <c r="CH47"/>
  <c r="CB45"/>
  <c r="CB16" i="15"/>
  <c r="AP8" i="14"/>
  <c r="CB100" i="15"/>
  <c r="CB91" i="1"/>
  <c r="AZ33" i="14"/>
  <c r="F11"/>
  <c r="G11" s="1"/>
  <c r="DA19" i="1"/>
  <c r="CX20" s="1"/>
  <c r="DA23"/>
  <c r="CX24" s="1"/>
  <c r="DA24"/>
  <c r="CX25" s="1"/>
  <c r="DA18"/>
  <c r="CX19" s="1"/>
  <c r="DA20"/>
  <c r="CX21" s="1"/>
  <c r="DA27"/>
  <c r="CX28" s="1"/>
  <c r="DA36"/>
  <c r="CX37" s="1"/>
  <c r="DA38"/>
  <c r="CX39" s="1"/>
  <c r="DA43"/>
  <c r="CX44" s="1"/>
  <c r="DA46"/>
  <c r="CX47" s="1"/>
  <c r="DA21"/>
  <c r="CX22" s="1"/>
  <c r="DA28"/>
  <c r="CX29" s="1"/>
  <c r="DA31"/>
  <c r="CX32" s="1"/>
  <c r="DA32"/>
  <c r="CX33" s="1"/>
  <c r="DA34"/>
  <c r="CX35" s="1"/>
  <c r="DA25"/>
  <c r="CX26" s="1"/>
  <c r="DA35"/>
  <c r="CX36" s="1"/>
  <c r="DA45"/>
  <c r="CX46" s="1"/>
  <c r="DA47"/>
  <c r="CX48" s="1"/>
  <c r="DA49"/>
  <c r="DA22"/>
  <c r="CX23" s="1"/>
  <c r="DA33"/>
  <c r="CX34" s="1"/>
  <c r="DA37"/>
  <c r="CX38" s="1"/>
  <c r="DA39"/>
  <c r="CX40" s="1"/>
  <c r="DA40"/>
  <c r="CX41" s="1"/>
  <c r="DA48"/>
  <c r="CX49" s="1"/>
  <c r="DA30"/>
  <c r="CX31" s="1"/>
  <c r="DA42"/>
  <c r="CX43" s="1"/>
  <c r="DA26"/>
  <c r="CX27" s="1"/>
  <c r="DA29"/>
  <c r="CX30" s="1"/>
  <c r="DA44"/>
  <c r="CX45" s="1"/>
  <c r="DA41"/>
  <c r="CX42" s="1"/>
  <c r="AB9" i="14"/>
  <c r="AA9"/>
  <c r="AB7"/>
  <c r="AB8" s="1"/>
  <c r="GF76" i="15"/>
  <c r="GE76"/>
  <c r="F10" i="14"/>
  <c r="V21" s="1"/>
  <c r="AZ32"/>
  <c r="CE94" i="1"/>
  <c r="CE95" s="1"/>
  <c r="CH48"/>
  <c r="CH49" s="1"/>
  <c r="CH50" s="1"/>
  <c r="CH51" s="1"/>
  <c r="GU64" i="15"/>
  <c r="GU63"/>
  <c r="GU65"/>
  <c r="GU67"/>
  <c r="GU66"/>
  <c r="GU68"/>
  <c r="GF82"/>
  <c r="GG76" s="1"/>
  <c r="GG84" s="1"/>
  <c r="GE82"/>
  <c r="GY74"/>
  <c r="CE47" i="1"/>
  <c r="CE48" s="1"/>
  <c r="CE49" s="1"/>
  <c r="CE50" s="1"/>
  <c r="CH54" i="15"/>
  <c r="AJ9" i="14"/>
  <c r="CB57" i="15"/>
  <c r="CH95" i="1"/>
  <c r="V23" i="14"/>
  <c r="CH55" i="15"/>
  <c r="CH56" s="1"/>
  <c r="CH57" s="1"/>
  <c r="AJ8" i="14"/>
  <c r="CB92" i="1"/>
  <c r="AP9" i="14"/>
  <c r="GW70" i="15"/>
  <c r="AD8" i="17" l="1"/>
  <c r="F11"/>
  <c r="I10"/>
  <c r="V21" s="1"/>
  <c r="W21" s="1"/>
  <c r="X21" s="1"/>
  <c r="AG11"/>
  <c r="AW12" i="14" s="1"/>
  <c r="GE84" i="15"/>
  <c r="GL7" s="1"/>
  <c r="GL24" s="1"/>
  <c r="GL27" s="1"/>
  <c r="GI18" s="1"/>
  <c r="AD9" i="14"/>
  <c r="CE51" i="1"/>
  <c r="CH52"/>
  <c r="CH58" i="15"/>
  <c r="CH59" s="1"/>
  <c r="CH61"/>
  <c r="CH62" s="1"/>
  <c r="CH63" s="1"/>
  <c r="CH64" s="1"/>
  <c r="CH65" s="1"/>
  <c r="CH66" s="1"/>
  <c r="CH67" s="1"/>
  <c r="CH68" s="1"/>
  <c r="CH69" s="1"/>
  <c r="CH70" s="1"/>
  <c r="CH71" s="1"/>
  <c r="CH72" s="1"/>
  <c r="CH73" s="1"/>
  <c r="CH74" s="1"/>
  <c r="CH75" s="1"/>
  <c r="CH76" s="1"/>
  <c r="CH77" s="1"/>
  <c r="CH78" s="1"/>
  <c r="CH79" s="1"/>
  <c r="CH80" s="1"/>
  <c r="CH81" s="1"/>
  <c r="CH82" s="1"/>
  <c r="CH83" s="1"/>
  <c r="CH84" s="1"/>
  <c r="CH85" s="1"/>
  <c r="CH86" s="1"/>
  <c r="CH87" s="1"/>
  <c r="CE97" i="1"/>
  <c r="CE98" s="1"/>
  <c r="CE99" s="1"/>
  <c r="CB18"/>
  <c r="CB19" s="1"/>
  <c r="CB21" s="1"/>
  <c r="CH102" i="15"/>
  <c r="CH103" s="1"/>
  <c r="CH104" s="1"/>
  <c r="CH105" s="1"/>
  <c r="CB62"/>
  <c r="CH96" i="1"/>
  <c r="CH97"/>
  <c r="CH98" s="1"/>
  <c r="CH99" s="1"/>
  <c r="CH100" s="1"/>
  <c r="CH101" s="1"/>
  <c r="CH102" s="1"/>
  <c r="CH103" s="1"/>
  <c r="CH104" s="1"/>
  <c r="CH105" s="1"/>
  <c r="CH106" s="1"/>
  <c r="CH107" s="1"/>
  <c r="CH108" s="1"/>
  <c r="CH109" s="1"/>
  <c r="CH110" s="1"/>
  <c r="CH111" s="1"/>
  <c r="CH112" s="1"/>
  <c r="CH113" s="1"/>
  <c r="CH114" s="1"/>
  <c r="CH115" s="1"/>
  <c r="CH116" s="1"/>
  <c r="CH117" s="1"/>
  <c r="CH118" s="1"/>
  <c r="CH119" s="1"/>
  <c r="CH120" s="1"/>
  <c r="CH121" s="1"/>
  <c r="CH122" s="1"/>
  <c r="CH123" s="1"/>
  <c r="CH124" s="1"/>
  <c r="I20" i="14"/>
  <c r="V24"/>
  <c r="L20"/>
  <c r="F20"/>
  <c r="W23" s="1"/>
  <c r="X23" s="1"/>
  <c r="GL26" i="15"/>
  <c r="GM27"/>
  <c r="CB101"/>
  <c r="P22" i="24"/>
  <c r="S22" s="1"/>
  <c r="H25"/>
  <c r="H6" i="11"/>
  <c r="C6" s="1"/>
  <c r="GL91" i="15"/>
  <c r="GM91"/>
  <c r="CB46" i="1"/>
  <c r="CB47"/>
  <c r="CB48" s="1"/>
  <c r="CB49" s="1"/>
  <c r="D30" i="11"/>
  <c r="CB17" i="15"/>
  <c r="CE100"/>
  <c r="CE59"/>
  <c r="CB58"/>
  <c r="CB59" s="1"/>
  <c r="CB60" s="1"/>
  <c r="CB61" s="1"/>
  <c r="CE96" i="1"/>
  <c r="CH60" i="15"/>
  <c r="CB93" i="1"/>
  <c r="CB94" s="1"/>
  <c r="CB95" s="1"/>
  <c r="CB96" s="1"/>
  <c r="CB97" s="1"/>
  <c r="CB98" s="1"/>
  <c r="CB99" s="1"/>
  <c r="CE60" i="15"/>
  <c r="CE61" s="1"/>
  <c r="CE62" s="1"/>
  <c r="CE63" s="1"/>
  <c r="CE64" s="1"/>
  <c r="CE65" s="1"/>
  <c r="CE66" s="1"/>
  <c r="CE67" s="1"/>
  <c r="CE68" s="1"/>
  <c r="CE69" s="1"/>
  <c r="D30" i="24"/>
  <c r="G11" i="17" l="1"/>
  <c r="V20"/>
  <c r="CB20" i="1"/>
  <c r="CB22" s="1"/>
  <c r="CE100"/>
  <c r="CE101" s="1"/>
  <c r="CE102" s="1"/>
  <c r="CE103" s="1"/>
  <c r="CE104" s="1"/>
  <c r="CE105" s="1"/>
  <c r="CE106" s="1"/>
  <c r="CE107" s="1"/>
  <c r="CE108" s="1"/>
  <c r="CE109" s="1"/>
  <c r="CE110" s="1"/>
  <c r="CE111" s="1"/>
  <c r="CE112" s="1"/>
  <c r="CE113" s="1"/>
  <c r="CE114" s="1"/>
  <c r="CE115" s="1"/>
  <c r="CE116" s="1"/>
  <c r="CE117" s="1"/>
  <c r="CE118" s="1"/>
  <c r="CE119" s="1"/>
  <c r="CE120" s="1"/>
  <c r="CE121" s="1"/>
  <c r="CE122" s="1"/>
  <c r="CE123" s="1"/>
  <c r="CE124" s="1"/>
  <c r="CE125" s="1"/>
  <c r="CA126" s="1"/>
  <c r="CH106" i="15"/>
  <c r="CH107" s="1"/>
  <c r="CH108" s="1"/>
  <c r="CH109" s="1"/>
  <c r="CH110" s="1"/>
  <c r="CH111" s="1"/>
  <c r="CH112" s="1"/>
  <c r="CH113" s="1"/>
  <c r="CH114" s="1"/>
  <c r="CH115" s="1"/>
  <c r="CH116" s="1"/>
  <c r="CH117" s="1"/>
  <c r="CH118" s="1"/>
  <c r="CH119" s="1"/>
  <c r="CH120" s="1"/>
  <c r="CH121" s="1"/>
  <c r="CH122" s="1"/>
  <c r="CH123" s="1"/>
  <c r="CH124" s="1"/>
  <c r="CH125" s="1"/>
  <c r="CH126" s="1"/>
  <c r="CH127" s="1"/>
  <c r="CH128" s="1"/>
  <c r="CH129" s="1"/>
  <c r="CH130" s="1"/>
  <c r="CH131" s="1"/>
  <c r="CH132" s="1"/>
  <c r="CB50" i="1"/>
  <c r="CB51" s="1"/>
  <c r="CB53"/>
  <c r="CB54" s="1"/>
  <c r="CB55" s="1"/>
  <c r="CB56" s="1"/>
  <c r="CB57" s="1"/>
  <c r="CB58" s="1"/>
  <c r="CB59" s="1"/>
  <c r="CB60" s="1"/>
  <c r="CB61" s="1"/>
  <c r="CB62" s="1"/>
  <c r="CB63" s="1"/>
  <c r="CB64" s="1"/>
  <c r="CB65" s="1"/>
  <c r="CB66" s="1"/>
  <c r="CB67" s="1"/>
  <c r="CB68" s="1"/>
  <c r="CB69" s="1"/>
  <c r="CB70" s="1"/>
  <c r="CB71" s="1"/>
  <c r="CB72" s="1"/>
  <c r="CB73" s="1"/>
  <c r="CB74" s="1"/>
  <c r="CB75" s="1"/>
  <c r="CB76" s="1"/>
  <c r="CB77" s="1"/>
  <c r="CB78" s="1"/>
  <c r="CB79" s="1"/>
  <c r="CB80" s="1"/>
  <c r="CB81" s="1"/>
  <c r="CB52"/>
  <c r="GQ94" i="15"/>
  <c r="CB102"/>
  <c r="GI20"/>
  <c r="GI19"/>
  <c r="GI21" s="1"/>
  <c r="F24" i="14"/>
  <c r="W22"/>
  <c r="V46"/>
  <c r="I24"/>
  <c r="CE70" i="15"/>
  <c r="CE71" s="1"/>
  <c r="CE72" s="1"/>
  <c r="CE73" s="1"/>
  <c r="CE74" s="1"/>
  <c r="CE75" s="1"/>
  <c r="CE76" s="1"/>
  <c r="CE77" s="1"/>
  <c r="CE78" s="1"/>
  <c r="CE79" s="1"/>
  <c r="CE80" s="1"/>
  <c r="CE81" s="1"/>
  <c r="CE82" s="1"/>
  <c r="CE83" s="1"/>
  <c r="CE84" s="1"/>
  <c r="CE85" s="1"/>
  <c r="CE86" s="1"/>
  <c r="CE87" s="1"/>
  <c r="GR94"/>
  <c r="H26" i="24"/>
  <c r="J25"/>
  <c r="CH53" i="1"/>
  <c r="CE52"/>
  <c r="CE53" s="1"/>
  <c r="CE54" s="1"/>
  <c r="CE55" s="1"/>
  <c r="CE56" s="1"/>
  <c r="CE57" s="1"/>
  <c r="CE58" s="1"/>
  <c r="CE59" s="1"/>
  <c r="CE60" s="1"/>
  <c r="CE61" s="1"/>
  <c r="CE62" s="1"/>
  <c r="CE63" s="1"/>
  <c r="CE64" s="1"/>
  <c r="CE65" s="1"/>
  <c r="CE66" s="1"/>
  <c r="CE67" s="1"/>
  <c r="CE68" s="1"/>
  <c r="CE69" s="1"/>
  <c r="CE70" s="1"/>
  <c r="CE71" s="1"/>
  <c r="CE72" s="1"/>
  <c r="CE73" s="1"/>
  <c r="CE74" s="1"/>
  <c r="CE75" s="1"/>
  <c r="CE76" s="1"/>
  <c r="CE77" s="1"/>
  <c r="CE78" s="1"/>
  <c r="CE79" s="1"/>
  <c r="CE81" s="1"/>
  <c r="CA82" s="1"/>
  <c r="W21" i="14"/>
  <c r="CE101" i="15"/>
  <c r="L24" i="14"/>
  <c r="CB108" i="1"/>
  <c r="CB109" s="1"/>
  <c r="CB110" s="1"/>
  <c r="CB111" s="1"/>
  <c r="CB112" s="1"/>
  <c r="CB113" s="1"/>
  <c r="CB114" s="1"/>
  <c r="CB115" s="1"/>
  <c r="CB116" s="1"/>
  <c r="CB117" s="1"/>
  <c r="CB118" s="1"/>
  <c r="CB119" s="1"/>
  <c r="CB120" s="1"/>
  <c r="CB121" s="1"/>
  <c r="CB122" s="1"/>
  <c r="CB123" s="1"/>
  <c r="CB124" s="1"/>
  <c r="CB125" s="1"/>
  <c r="CB100"/>
  <c r="CB101" s="1"/>
  <c r="CB102" s="1"/>
  <c r="CB103" s="1"/>
  <c r="CB104" s="1"/>
  <c r="CB105" s="1"/>
  <c r="CB106" s="1"/>
  <c r="CB107" s="1"/>
  <c r="CB18" i="15"/>
  <c r="CB19" s="1"/>
  <c r="CB20" s="1"/>
  <c r="CB63"/>
  <c r="CB64" s="1"/>
  <c r="CB65" s="1"/>
  <c r="CB66" s="1"/>
  <c r="CB67" s="1"/>
  <c r="CB68" s="1"/>
  <c r="CB69" s="1"/>
  <c r="CB70" s="1"/>
  <c r="CB71" s="1"/>
  <c r="CB72" s="1"/>
  <c r="CB73" s="1"/>
  <c r="CB74" s="1"/>
  <c r="CB75" s="1"/>
  <c r="CB76" s="1"/>
  <c r="CB77" s="1"/>
  <c r="CB78" s="1"/>
  <c r="CB79" s="1"/>
  <c r="CB80" s="1"/>
  <c r="CB81" s="1"/>
  <c r="CB82" s="1"/>
  <c r="CB83" s="1"/>
  <c r="CB84" s="1"/>
  <c r="CB85" s="1"/>
  <c r="CB86" s="1"/>
  <c r="CB87" s="1"/>
  <c r="CB88" s="1"/>
  <c r="CB89" s="1"/>
  <c r="CB24" i="1" l="1"/>
  <c r="V23" i="17"/>
  <c r="W20"/>
  <c r="CB23" i="1"/>
  <c r="CB25" s="1"/>
  <c r="BZ125"/>
  <c r="CA125"/>
  <c r="CB126"/>
  <c r="P26" s="1"/>
  <c r="CA89" i="15"/>
  <c r="CB90"/>
  <c r="CA81" i="1"/>
  <c r="BZ81"/>
  <c r="CB82"/>
  <c r="B26" s="1"/>
  <c r="B21" i="2" s="1"/>
  <c r="W24" i="14"/>
  <c r="X21" s="1"/>
  <c r="W25"/>
  <c r="CB103" i="15"/>
  <c r="CB104" s="1"/>
  <c r="CB105" s="1"/>
  <c r="CB106" s="1"/>
  <c r="CB107" s="1"/>
  <c r="CB108" s="1"/>
  <c r="CB109" s="1"/>
  <c r="CB110" s="1"/>
  <c r="CB111" s="1"/>
  <c r="CB112" s="1"/>
  <c r="CB113" s="1"/>
  <c r="CB114" s="1"/>
  <c r="CB115" s="1"/>
  <c r="CB116" s="1"/>
  <c r="CB117" s="1"/>
  <c r="CB118" s="1"/>
  <c r="CB119" s="1"/>
  <c r="CB120" s="1"/>
  <c r="CB121" s="1"/>
  <c r="CB122" s="1"/>
  <c r="CB123" s="1"/>
  <c r="CB124" s="1"/>
  <c r="CB125" s="1"/>
  <c r="CB126" s="1"/>
  <c r="CB127" s="1"/>
  <c r="CB128" s="1"/>
  <c r="CB129" s="1"/>
  <c r="CB130" s="1"/>
  <c r="CB131" s="1"/>
  <c r="CB132" s="1"/>
  <c r="CB133" s="1"/>
  <c r="CB21"/>
  <c r="CB22" s="1"/>
  <c r="CE102"/>
  <c r="CE103" s="1"/>
  <c r="CE104" s="1"/>
  <c r="CE105" s="1"/>
  <c r="CE106" s="1"/>
  <c r="CE107" s="1"/>
  <c r="CE108" s="1"/>
  <c r="CE109" s="1"/>
  <c r="CE110" s="1"/>
  <c r="CE111" s="1"/>
  <c r="CE112" s="1"/>
  <c r="CE113" s="1"/>
  <c r="CE114" s="1"/>
  <c r="CE115" s="1"/>
  <c r="CE116" s="1"/>
  <c r="CE117" s="1"/>
  <c r="CE118" s="1"/>
  <c r="CE119" s="1"/>
  <c r="CE120" s="1"/>
  <c r="CE121" s="1"/>
  <c r="CE122" s="1"/>
  <c r="CE123" s="1"/>
  <c r="CE124" s="1"/>
  <c r="CE125" s="1"/>
  <c r="CE126" s="1"/>
  <c r="CE127" s="1"/>
  <c r="CE128" s="1"/>
  <c r="CE129" s="1"/>
  <c r="CE130" s="1"/>
  <c r="CE131" s="1"/>
  <c r="CE132" s="1"/>
  <c r="CH54" i="1"/>
  <c r="CH55" s="1"/>
  <c r="CH56" s="1"/>
  <c r="CH57" s="1"/>
  <c r="CH58" s="1"/>
  <c r="CH59" s="1"/>
  <c r="CH60" s="1"/>
  <c r="CH61" s="1"/>
  <c r="CH62" s="1"/>
  <c r="CH66"/>
  <c r="CH67" s="1"/>
  <c r="CH68" s="1"/>
  <c r="CH69" s="1"/>
  <c r="CH70" s="1"/>
  <c r="CH71" s="1"/>
  <c r="CH72" s="1"/>
  <c r="CH73" s="1"/>
  <c r="CH74" s="1"/>
  <c r="CH75" s="1"/>
  <c r="CH76" s="1"/>
  <c r="CH77" s="1"/>
  <c r="CH78" s="1"/>
  <c r="CH79" s="1"/>
  <c r="CH63"/>
  <c r="CH64" s="1"/>
  <c r="CH65" s="1"/>
  <c r="J26" i="24"/>
  <c r="S26" s="1"/>
  <c r="F29"/>
  <c r="X22" i="14"/>
  <c r="W23" i="17" l="1"/>
  <c r="X20"/>
  <c r="W24"/>
  <c r="CA133" i="15"/>
  <c r="CB134"/>
  <c r="P21" i="2"/>
  <c r="N73" i="1"/>
  <c r="F30" i="24"/>
  <c r="H29"/>
  <c r="H30" s="1"/>
  <c r="CB23" i="15"/>
  <c r="CB24"/>
  <c r="F21" i="14"/>
  <c r="Y21"/>
  <c r="F22" s="1"/>
  <c r="F26" s="1"/>
  <c r="L21"/>
  <c r="Y22"/>
  <c r="I22" s="1"/>
  <c r="I26" s="1"/>
  <c r="Y23"/>
  <c r="L22" s="1"/>
  <c r="L26" s="1"/>
  <c r="X25"/>
  <c r="CD11" i="1" s="1"/>
  <c r="I21" i="14"/>
  <c r="Y22" i="17" l="1"/>
  <c r="L22" s="1"/>
  <c r="X24"/>
  <c r="F21"/>
  <c r="I21"/>
  <c r="I25" s="1"/>
  <c r="Y21"/>
  <c r="I22" s="1"/>
  <c r="I26" s="1"/>
  <c r="U32" s="1"/>
  <c r="Y20"/>
  <c r="F22" s="1"/>
  <c r="S30" i="24"/>
  <c r="E32"/>
  <c r="L30"/>
  <c r="H1" i="23"/>
  <c r="F25" i="14"/>
  <c r="F27" s="1"/>
  <c r="U24"/>
  <c r="L25"/>
  <c r="L27" s="1"/>
  <c r="I25"/>
  <c r="I27" s="1"/>
  <c r="CB25" i="15"/>
  <c r="CB26" s="1"/>
  <c r="CB27" s="1"/>
  <c r="CB28" s="1"/>
  <c r="CB29" s="1"/>
  <c r="CB30" s="1"/>
  <c r="CB31" s="1"/>
  <c r="CB32" s="1"/>
  <c r="CB33" s="1"/>
  <c r="CB34" s="1"/>
  <c r="CB35" s="1"/>
  <c r="CB36" s="1"/>
  <c r="CB37" s="1"/>
  <c r="CB38" s="1"/>
  <c r="CB39" s="1"/>
  <c r="CB40" s="1"/>
  <c r="CB41" s="1"/>
  <c r="CB42" s="1"/>
  <c r="CB43" s="1"/>
  <c r="CB44" s="1"/>
  <c r="F26" i="17" l="1"/>
  <c r="U28"/>
  <c r="U30"/>
  <c r="T1"/>
  <c r="CD11" i="15"/>
  <c r="L26" i="17"/>
  <c r="L27" s="1"/>
  <c r="L28" s="1"/>
  <c r="L29" s="1"/>
  <c r="V46"/>
  <c r="F25"/>
  <c r="U23"/>
  <c r="I27"/>
  <c r="V47" i="14"/>
  <c r="F28"/>
  <c r="F29" s="1"/>
  <c r="EG57" i="1"/>
  <c r="EG80" s="1"/>
  <c r="EG92" s="1"/>
  <c r="EL96" s="1"/>
  <c r="EJ57"/>
  <c r="EJ80" s="1"/>
  <c r="EJ92" s="1"/>
  <c r="EO96" s="1"/>
  <c r="EH57"/>
  <c r="EH80" s="1"/>
  <c r="EH92" s="1"/>
  <c r="EM96" s="1"/>
  <c r="BY4" i="15"/>
  <c r="CA45"/>
  <c r="V45" i="14"/>
  <c r="V48" s="1"/>
  <c r="EI57" i="1"/>
  <c r="EI80" s="1"/>
  <c r="EI92" s="1"/>
  <c r="EN96" s="1"/>
  <c r="I28" i="14"/>
  <c r="I29" s="1"/>
  <c r="CV8" i="1" s="1"/>
  <c r="L28" i="14"/>
  <c r="L29" s="1"/>
  <c r="H2" i="23"/>
  <c r="D21"/>
  <c r="EM57" i="15" l="1"/>
  <c r="EM80" s="1"/>
  <c r="EM92" s="1"/>
  <c r="ER96" s="1"/>
  <c r="I28" i="17"/>
  <c r="I29" s="1"/>
  <c r="CV8" i="15" s="1"/>
  <c r="V44" i="17"/>
  <c r="V47" s="1"/>
  <c r="F27"/>
  <c r="DC7" i="1"/>
  <c r="CV10"/>
  <c r="V43" i="14"/>
  <c r="J27" i="23"/>
  <c r="J28" s="1"/>
  <c r="D22"/>
  <c r="T2"/>
  <c r="L2"/>
  <c r="CV10" i="15" l="1"/>
  <c r="DC7"/>
  <c r="GO47"/>
  <c r="GO49" s="1"/>
  <c r="GO51" s="1"/>
  <c r="EL57"/>
  <c r="EL80" s="1"/>
  <c r="EL92" s="1"/>
  <c r="EQ96" s="1"/>
  <c r="F28" i="17"/>
  <c r="F29" s="1"/>
  <c r="V42" s="1"/>
  <c r="FH35" i="15" s="1"/>
  <c r="FJ35" s="1"/>
  <c r="FJ36" s="1"/>
  <c r="FN7" s="1"/>
  <c r="EN57"/>
  <c r="EN80" s="1"/>
  <c r="EN92" s="1"/>
  <c r="ES96" s="1"/>
  <c r="EK57"/>
  <c r="EK80" s="1"/>
  <c r="EK92" s="1"/>
  <c r="EP96" s="1"/>
  <c r="GN47"/>
  <c r="GN49" s="1"/>
  <c r="GN51" s="1"/>
  <c r="GL57" s="1"/>
  <c r="GL80" s="1"/>
  <c r="CC26" i="1"/>
  <c r="CU8"/>
  <c r="CY8" s="1"/>
  <c r="BO5" i="13"/>
  <c r="H8" i="16" l="1"/>
  <c r="DW6" i="15"/>
  <c r="DW37" s="1"/>
  <c r="CU8"/>
  <c r="CU9" s="1"/>
  <c r="CY8" s="1"/>
  <c r="CY9" s="1"/>
  <c r="GL92"/>
  <c r="GM92"/>
  <c r="D24" i="1"/>
  <c r="CB26"/>
  <c r="CB27" s="1"/>
  <c r="CB28" s="1"/>
  <c r="CB29" s="1"/>
  <c r="CB30" s="1"/>
  <c r="CB31" s="1"/>
  <c r="CB32" s="1"/>
  <c r="CB33" s="1"/>
  <c r="CB34" s="1"/>
  <c r="CB35" s="1"/>
  <c r="CB36" s="1"/>
  <c r="DS6"/>
  <c r="DS37" s="1"/>
  <c r="DS39" s="1"/>
  <c r="CY9"/>
  <c r="CY61"/>
  <c r="GR96" i="15" l="1"/>
  <c r="GM97"/>
  <c r="DX38"/>
  <c r="DX40" s="1"/>
  <c r="V10" i="2" s="1"/>
  <c r="DW39" i="15"/>
  <c r="EA37"/>
  <c r="B6" i="27"/>
  <c r="CX54" i="15"/>
  <c r="DC8"/>
  <c r="DA54"/>
  <c r="CY54"/>
  <c r="CZ54"/>
  <c r="GL97"/>
  <c r="GQ96"/>
  <c r="CY81" i="1"/>
  <c r="AM5" i="13" s="1"/>
  <c r="CX81" i="1"/>
  <c r="CZ81"/>
  <c r="CF14"/>
  <c r="CA37"/>
  <c r="BY4"/>
  <c r="V5" i="13"/>
  <c r="C18"/>
  <c r="C20" s="1"/>
  <c r="DC8" i="1"/>
  <c r="CZ54"/>
  <c r="DA54"/>
  <c r="CY54"/>
  <c r="H8" i="2"/>
  <c r="CX54" i="1"/>
  <c r="B6" i="26"/>
  <c r="DE2" i="15" l="1"/>
  <c r="DG2" s="1"/>
  <c r="DH2" s="1"/>
  <c r="DW7"/>
  <c r="DA56"/>
  <c r="DD7"/>
  <c r="EK59"/>
  <c r="DA81"/>
  <c r="L5" i="23"/>
  <c r="Z5" i="19"/>
  <c r="CU2" i="15"/>
  <c r="L21" i="18"/>
  <c r="L22" s="1"/>
  <c r="CT2" i="15"/>
  <c r="CT3" s="1"/>
  <c r="DA55"/>
  <c r="AH5" i="19"/>
  <c r="CY55" i="15"/>
  <c r="AE5" i="19" s="1"/>
  <c r="AG5"/>
  <c r="Y32" i="18"/>
  <c r="Z32" s="1"/>
  <c r="Z41" s="1"/>
  <c r="AC5" i="19"/>
  <c r="DB2" i="15"/>
  <c r="Q129" i="27"/>
  <c r="Q54"/>
  <c r="Q82"/>
  <c r="Q102"/>
  <c r="Q6"/>
  <c r="Q29"/>
  <c r="Q182"/>
  <c r="E23"/>
  <c r="J23" s="1"/>
  <c r="Q155"/>
  <c r="GM99" i="15"/>
  <c r="GW96" s="1"/>
  <c r="GW99" s="1"/>
  <c r="D34" i="19" s="1"/>
  <c r="GR103" i="15"/>
  <c r="GR106" s="1"/>
  <c r="GW90"/>
  <c r="GW98" s="1"/>
  <c r="GT117" s="1"/>
  <c r="EE37"/>
  <c r="ED37"/>
  <c r="ED46" s="1"/>
  <c r="AD5" i="19"/>
  <c r="CZ55" i="15"/>
  <c r="EK60"/>
  <c r="EN60"/>
  <c r="EL60"/>
  <c r="Y12" i="23"/>
  <c r="DW45" i="15"/>
  <c r="FI66"/>
  <c r="FK66" s="1"/>
  <c r="FK67" s="1"/>
  <c r="H12" i="16"/>
  <c r="B25" i="15"/>
  <c r="B13" i="16"/>
  <c r="B12"/>
  <c r="H13"/>
  <c r="CX55" i="15"/>
  <c r="D24" i="2" s="1"/>
  <c r="C6" i="5" s="1"/>
  <c r="FI87" i="15"/>
  <c r="FI102" s="1"/>
  <c r="DC9"/>
  <c r="GV90"/>
  <c r="GV98" s="1"/>
  <c r="GT116" s="1"/>
  <c r="GL99"/>
  <c r="GV96" s="1"/>
  <c r="GV99" s="1"/>
  <c r="GQ101"/>
  <c r="CY61"/>
  <c r="S8" i="2"/>
  <c r="DT39" i="15"/>
  <c r="H25"/>
  <c r="GR107"/>
  <c r="GP117" s="1"/>
  <c r="E23" i="26"/>
  <c r="J23" s="1"/>
  <c r="Q82"/>
  <c r="Q102"/>
  <c r="Q155"/>
  <c r="Q6"/>
  <c r="Q182"/>
  <c r="Q129"/>
  <c r="Q54"/>
  <c r="Q29"/>
  <c r="CT2" i="1"/>
  <c r="DS7"/>
  <c r="DD7"/>
  <c r="DE2"/>
  <c r="DA56"/>
  <c r="EG59"/>
  <c r="CU2"/>
  <c r="DA55"/>
  <c r="AB5" i="13"/>
  <c r="D22" s="1"/>
  <c r="DA81" i="1"/>
  <c r="L21" i="11"/>
  <c r="L22" s="1"/>
  <c r="DB2" i="1"/>
  <c r="CY55"/>
  <c r="AG5" i="13" s="1"/>
  <c r="CY56" i="1"/>
  <c r="AK5" i="13" s="1"/>
  <c r="V33" i="11"/>
  <c r="Y32" s="1"/>
  <c r="Z32" s="1"/>
  <c r="Z41" s="1"/>
  <c r="AE5" i="13"/>
  <c r="AI5"/>
  <c r="AN5"/>
  <c r="DS48" i="1"/>
  <c r="DC9"/>
  <c r="CX56"/>
  <c r="CX55"/>
  <c r="DS45"/>
  <c r="EG60"/>
  <c r="CZ56"/>
  <c r="EJ60"/>
  <c r="AF5" i="13"/>
  <c r="AJ5"/>
  <c r="CZ55" i="1"/>
  <c r="B13" i="2" s="1"/>
  <c r="H13" s="1"/>
  <c r="EH60" i="1"/>
  <c r="B12" i="2"/>
  <c r="V12" i="13"/>
  <c r="D20"/>
  <c r="U6" i="14"/>
  <c r="O12" i="1"/>
  <c r="O13"/>
  <c r="O8" i="2" s="1"/>
  <c r="H24" i="1"/>
  <c r="H12" i="2" s="1"/>
  <c r="T6" i="14"/>
  <c r="O14" i="1"/>
  <c r="O9" i="2" s="1"/>
  <c r="CH14" i="1"/>
  <c r="O8"/>
  <c r="O10"/>
  <c r="AB197" i="27" l="1"/>
  <c r="H13" s="1"/>
  <c r="Y197"/>
  <c r="L13" s="1"/>
  <c r="AC197"/>
  <c r="I13" s="1"/>
  <c r="X197"/>
  <c r="AA197"/>
  <c r="T197" s="1"/>
  <c r="Z197"/>
  <c r="W197"/>
  <c r="V197"/>
  <c r="M13" s="1"/>
  <c r="X90"/>
  <c r="AA90"/>
  <c r="T90" s="1"/>
  <c r="Z90"/>
  <c r="W90"/>
  <c r="AB90"/>
  <c r="H9" s="1"/>
  <c r="Y90"/>
  <c r="L9" s="1"/>
  <c r="V90"/>
  <c r="M9" s="1"/>
  <c r="AC90"/>
  <c r="I9" s="1"/>
  <c r="M23" i="16"/>
  <c r="E30"/>
  <c r="E39"/>
  <c r="E46"/>
  <c r="E50"/>
  <c r="E54"/>
  <c r="E58"/>
  <c r="E62"/>
  <c r="M24"/>
  <c r="E32"/>
  <c r="M38"/>
  <c r="M45"/>
  <c r="M49"/>
  <c r="M53"/>
  <c r="M57"/>
  <c r="M61"/>
  <c r="E40"/>
  <c r="M30"/>
  <c r="E31"/>
  <c r="M42"/>
  <c r="M32"/>
  <c r="M31"/>
  <c r="M46"/>
  <c r="M50"/>
  <c r="M62"/>
  <c r="M33"/>
  <c r="E47"/>
  <c r="E59"/>
  <c r="E63"/>
  <c r="E33"/>
  <c r="E23"/>
  <c r="M27"/>
  <c r="M36"/>
  <c r="M44"/>
  <c r="M48"/>
  <c r="M52"/>
  <c r="M56"/>
  <c r="M60"/>
  <c r="M64"/>
  <c r="M29"/>
  <c r="E37"/>
  <c r="E45"/>
  <c r="E49"/>
  <c r="E53"/>
  <c r="E57"/>
  <c r="E61"/>
  <c r="E27"/>
  <c r="M39"/>
  <c r="E29"/>
  <c r="M37"/>
  <c r="E24"/>
  <c r="E25"/>
  <c r="M58"/>
  <c r="E41"/>
  <c r="E55"/>
  <c r="E36"/>
  <c r="E38"/>
  <c r="E26"/>
  <c r="E35"/>
  <c r="E44"/>
  <c r="E48"/>
  <c r="E52"/>
  <c r="E56"/>
  <c r="E60"/>
  <c r="E64"/>
  <c r="E28"/>
  <c r="M34"/>
  <c r="E42"/>
  <c r="M47"/>
  <c r="M51"/>
  <c r="M55"/>
  <c r="M59"/>
  <c r="M63"/>
  <c r="M26"/>
  <c r="M43"/>
  <c r="M35"/>
  <c r="E34"/>
  <c r="E43"/>
  <c r="M40"/>
  <c r="M54"/>
  <c r="M25"/>
  <c r="E51"/>
  <c r="M41"/>
  <c r="M28"/>
  <c r="AA30" i="23"/>
  <c r="AA34" s="1"/>
  <c r="J5" s="1"/>
  <c r="J6" s="1"/>
  <c r="AB30"/>
  <c r="AF5" i="19"/>
  <c r="DW77" i="15"/>
  <c r="EM60"/>
  <c r="V117" i="27"/>
  <c r="M10" s="1"/>
  <c r="W117"/>
  <c r="Z117"/>
  <c r="AB117"/>
  <c r="H10" s="1"/>
  <c r="Y117"/>
  <c r="L10" s="1"/>
  <c r="X117"/>
  <c r="AC117"/>
  <c r="I10" s="1"/>
  <c r="AA117"/>
  <c r="T117" s="1"/>
  <c r="EL78" i="15"/>
  <c r="EL79"/>
  <c r="DW75"/>
  <c r="DW76"/>
  <c r="EH76"/>
  <c r="EK79"/>
  <c r="EK78"/>
  <c r="V170" i="27"/>
  <c r="M12" s="1"/>
  <c r="AA170"/>
  <c r="T170" s="1"/>
  <c r="AB170"/>
  <c r="H12" s="1"/>
  <c r="Y170"/>
  <c r="L12" s="1"/>
  <c r="Z170"/>
  <c r="X170"/>
  <c r="AC170"/>
  <c r="I12" s="1"/>
  <c r="W170"/>
  <c r="V19"/>
  <c r="M6" s="1"/>
  <c r="M16" s="1"/>
  <c r="AA19"/>
  <c r="T19" s="1"/>
  <c r="AB19"/>
  <c r="H6" s="1"/>
  <c r="H16" s="1"/>
  <c r="AC19"/>
  <c r="I6" s="1"/>
  <c r="I16" s="1"/>
  <c r="Z19"/>
  <c r="X19"/>
  <c r="Y19"/>
  <c r="L6" s="1"/>
  <c r="L16" s="1"/>
  <c r="L18" s="1"/>
  <c r="E24" s="1"/>
  <c r="J24" s="1"/>
  <c r="W19"/>
  <c r="V144"/>
  <c r="M11" s="1"/>
  <c r="AC144"/>
  <c r="I11" s="1"/>
  <c r="AB144"/>
  <c r="H11" s="1"/>
  <c r="W144"/>
  <c r="Z144"/>
  <c r="X144"/>
  <c r="Y144"/>
  <c r="L11" s="1"/>
  <c r="AA144"/>
  <c r="T144" s="1"/>
  <c r="L6" i="23"/>
  <c r="AC77"/>
  <c r="AC50" s="1"/>
  <c r="B26" i="15"/>
  <c r="CX81"/>
  <c r="CZ81"/>
  <c r="CY81"/>
  <c r="AK5" i="19" s="1"/>
  <c r="EV63" i="15"/>
  <c r="EV51"/>
  <c r="EX53"/>
  <c r="EV67"/>
  <c r="EV46"/>
  <c r="EV50"/>
  <c r="EV49"/>
  <c r="EX70"/>
  <c r="EV65"/>
  <c r="EV66"/>
  <c r="EV47"/>
  <c r="EV48"/>
  <c r="EV68"/>
  <c r="EV64"/>
  <c r="EX72"/>
  <c r="EX74" s="1"/>
  <c r="GQ107"/>
  <c r="GP116" s="1"/>
  <c r="GQ106"/>
  <c r="GW110"/>
  <c r="EN78"/>
  <c r="EN79"/>
  <c r="Z43" i="27"/>
  <c r="Y43"/>
  <c r="L7" s="1"/>
  <c r="W43"/>
  <c r="V43"/>
  <c r="M7" s="1"/>
  <c r="AC43"/>
  <c r="I7" s="1"/>
  <c r="X43"/>
  <c r="AB43"/>
  <c r="H7" s="1"/>
  <c r="AA43"/>
  <c r="T43" s="1"/>
  <c r="V69"/>
  <c r="M8" s="1"/>
  <c r="W69"/>
  <c r="Z69"/>
  <c r="AA69"/>
  <c r="T69" s="1"/>
  <c r="AB69"/>
  <c r="H8" s="1"/>
  <c r="AC69"/>
  <c r="I8" s="1"/>
  <c r="X69"/>
  <c r="Y69"/>
  <c r="L8" s="1"/>
  <c r="AB55" i="18"/>
  <c r="AA55"/>
  <c r="J21" s="1"/>
  <c r="J22" s="1"/>
  <c r="DE7" i="15"/>
  <c r="DD8"/>
  <c r="O11" i="1"/>
  <c r="ER46"/>
  <c r="ER49"/>
  <c r="ET53"/>
  <c r="ER50"/>
  <c r="ER67"/>
  <c r="ET70"/>
  <c r="ER47"/>
  <c r="ER63"/>
  <c r="ER65"/>
  <c r="ER48"/>
  <c r="ER68"/>
  <c r="ER66"/>
  <c r="ER64"/>
  <c r="ER51"/>
  <c r="X144" i="26"/>
  <c r="AB144"/>
  <c r="H11" s="1"/>
  <c r="W144"/>
  <c r="AA144"/>
  <c r="T144" s="1"/>
  <c r="Z144"/>
  <c r="Y144"/>
  <c r="L11" s="1"/>
  <c r="AC144"/>
  <c r="I11" s="1"/>
  <c r="V144"/>
  <c r="M11" s="1"/>
  <c r="V117"/>
  <c r="M10" s="1"/>
  <c r="Z117"/>
  <c r="Y117"/>
  <c r="L10" s="1"/>
  <c r="AC117"/>
  <c r="I10" s="1"/>
  <c r="W117"/>
  <c r="AB117"/>
  <c r="H10" s="1"/>
  <c r="AA117"/>
  <c r="T117" s="1"/>
  <c r="X117"/>
  <c r="O5" i="2"/>
  <c r="J11" i="11"/>
  <c r="C11" s="1"/>
  <c r="I2" i="5"/>
  <c r="B3" s="1"/>
  <c r="D6" i="14"/>
  <c r="S2" i="2"/>
  <c r="C1" s="1"/>
  <c r="ED76" i="1"/>
  <c r="DS76"/>
  <c r="DS75"/>
  <c r="DD8"/>
  <c r="DE7"/>
  <c r="X69" i="26"/>
  <c r="AB69"/>
  <c r="H8" s="1"/>
  <c r="W69"/>
  <c r="AA69"/>
  <c r="T69" s="1"/>
  <c r="AC69"/>
  <c r="I8" s="1"/>
  <c r="Z69"/>
  <c r="Y69"/>
  <c r="L8" s="1"/>
  <c r="V69"/>
  <c r="M8" s="1"/>
  <c r="V170"/>
  <c r="M12" s="1"/>
  <c r="Z170"/>
  <c r="Y170"/>
  <c r="L12" s="1"/>
  <c r="AC170"/>
  <c r="I12" s="1"/>
  <c r="AB170"/>
  <c r="H12" s="1"/>
  <c r="AA170"/>
  <c r="T170" s="1"/>
  <c r="X170"/>
  <c r="W170"/>
  <c r="O3" i="2"/>
  <c r="EH79" i="1"/>
  <c r="EH78"/>
  <c r="EJ78"/>
  <c r="EJ79"/>
  <c r="AA55" i="11"/>
  <c r="J21" s="1"/>
  <c r="AB55"/>
  <c r="O6" i="2"/>
  <c r="L10" i="11"/>
  <c r="O7" i="2"/>
  <c r="N10" i="11"/>
  <c r="EG78" i="1"/>
  <c r="EG79"/>
  <c r="ET72" s="1"/>
  <c r="DG2"/>
  <c r="DH2" s="1"/>
  <c r="V43" i="26"/>
  <c r="M7" s="1"/>
  <c r="Z43"/>
  <c r="Y43"/>
  <c r="L7" s="1"/>
  <c r="AC43"/>
  <c r="I7" s="1"/>
  <c r="X43"/>
  <c r="W43"/>
  <c r="AB43"/>
  <c r="H7" s="1"/>
  <c r="AA43"/>
  <c r="T43" s="1"/>
  <c r="V19"/>
  <c r="M6" s="1"/>
  <c r="Z19"/>
  <c r="Y19"/>
  <c r="L6" s="1"/>
  <c r="AC19"/>
  <c r="I6" s="1"/>
  <c r="W19"/>
  <c r="AB19"/>
  <c r="H6" s="1"/>
  <c r="X19"/>
  <c r="AA19"/>
  <c r="T19" s="1"/>
  <c r="DS77" i="1"/>
  <c r="AH5" i="13"/>
  <c r="EI60" i="1"/>
  <c r="DS79"/>
  <c r="AL5" i="13"/>
  <c r="DS81" i="1"/>
  <c r="ED82"/>
  <c r="DV90" s="1"/>
  <c r="DY90" s="1"/>
  <c r="DS82"/>
  <c r="CT3"/>
  <c r="X197" i="26"/>
  <c r="AB197"/>
  <c r="H13" s="1"/>
  <c r="W197"/>
  <c r="AA197"/>
  <c r="T197" s="1"/>
  <c r="Y197"/>
  <c r="L13" s="1"/>
  <c r="V197"/>
  <c r="M13" s="1"/>
  <c r="AC197"/>
  <c r="I13" s="1"/>
  <c r="Z197"/>
  <c r="X90"/>
  <c r="AB90"/>
  <c r="H9" s="1"/>
  <c r="W90"/>
  <c r="AA90"/>
  <c r="T90" s="1"/>
  <c r="AC90"/>
  <c r="I9" s="1"/>
  <c r="Z90"/>
  <c r="V90"/>
  <c r="M9" s="1"/>
  <c r="Y90"/>
  <c r="L9" s="1"/>
  <c r="DC10" i="1"/>
  <c r="DE8" i="15" l="1"/>
  <c r="DE10" s="1"/>
  <c r="DD9"/>
  <c r="DE9" s="1"/>
  <c r="W148" i="27"/>
  <c r="AA148" s="1"/>
  <c r="G11" s="1"/>
  <c r="K11"/>
  <c r="W23"/>
  <c r="AA23" s="1"/>
  <c r="G6" s="1"/>
  <c r="G16" s="1"/>
  <c r="G18" s="1"/>
  <c r="F63" i="19" s="1"/>
  <c r="H63" s="1"/>
  <c r="K6" i="27"/>
  <c r="K16" s="1"/>
  <c r="K18" s="1"/>
  <c r="O16" i="15" s="1"/>
  <c r="O9" i="16" s="1"/>
  <c r="W174" i="27"/>
  <c r="AA174" s="1"/>
  <c r="G12" s="1"/>
  <c r="K12"/>
  <c r="EL91" i="15"/>
  <c r="EN91"/>
  <c r="EK91"/>
  <c r="DW48"/>
  <c r="AL5" i="19"/>
  <c r="EQ39" i="15"/>
  <c r="EQ36"/>
  <c r="EQ40"/>
  <c r="GR41"/>
  <c r="GQ41" s="1"/>
  <c r="GR42"/>
  <c r="GQ42" s="1"/>
  <c r="EQ42"/>
  <c r="EE76"/>
  <c r="GR39"/>
  <c r="GQ39" s="1"/>
  <c r="GR36"/>
  <c r="GQ36" s="1"/>
  <c r="EQ33"/>
  <c r="EQ35"/>
  <c r="GR37"/>
  <c r="GQ37" s="1"/>
  <c r="EQ41"/>
  <c r="GR34"/>
  <c r="GQ34" s="1"/>
  <c r="GR40"/>
  <c r="GQ40" s="1"/>
  <c r="GR33"/>
  <c r="GQ33" s="1"/>
  <c r="EQ34"/>
  <c r="EQ37"/>
  <c r="GR38"/>
  <c r="GQ38" s="1"/>
  <c r="GR35"/>
  <c r="GQ35" s="1"/>
  <c r="EQ38"/>
  <c r="ET63"/>
  <c r="ET68"/>
  <c r="ET65"/>
  <c r="ET64"/>
  <c r="ET66"/>
  <c r="ET67"/>
  <c r="K10" i="27"/>
  <c r="W121"/>
  <c r="AA121" s="1"/>
  <c r="G10" s="1"/>
  <c r="W120"/>
  <c r="AA120" s="1"/>
  <c r="F10" s="1"/>
  <c r="J10"/>
  <c r="J13"/>
  <c r="W200"/>
  <c r="AA200" s="1"/>
  <c r="F13" s="1"/>
  <c r="EV53" i="15"/>
  <c r="EV70"/>
  <c r="DD55"/>
  <c r="DC55"/>
  <c r="DE55"/>
  <c r="K8" i="27"/>
  <c r="W73"/>
  <c r="AA73" s="1"/>
  <c r="G8" s="1"/>
  <c r="J7"/>
  <c r="W46"/>
  <c r="AA46" s="1"/>
  <c r="F7" s="1"/>
  <c r="M18"/>
  <c r="S5" i="15" s="1"/>
  <c r="CG10" s="1"/>
  <c r="H18" i="27"/>
  <c r="I18"/>
  <c r="E18"/>
  <c r="EM78" i="15"/>
  <c r="EM79"/>
  <c r="W94" i="27"/>
  <c r="AA94" s="1"/>
  <c r="G9" s="1"/>
  <c r="K9"/>
  <c r="W72"/>
  <c r="AA72" s="1"/>
  <c r="F8" s="1"/>
  <c r="J8"/>
  <c r="K7"/>
  <c r="W47"/>
  <c r="AA47" s="1"/>
  <c r="G7" s="1"/>
  <c r="J11"/>
  <c r="W147"/>
  <c r="AA147" s="1"/>
  <c r="F11" s="1"/>
  <c r="J6"/>
  <c r="J16" s="1"/>
  <c r="J18" s="1"/>
  <c r="W22"/>
  <c r="AA22" s="1"/>
  <c r="F6" s="1"/>
  <c r="F16" s="1"/>
  <c r="F18" s="1"/>
  <c r="F62" i="19" s="1"/>
  <c r="H62" s="1"/>
  <c r="J12" i="27"/>
  <c r="W173"/>
  <c r="AA173" s="1"/>
  <c r="F12" s="1"/>
  <c r="EH78" i="15"/>
  <c r="DW78"/>
  <c r="J9" i="27"/>
  <c r="W93"/>
  <c r="AA93" s="1"/>
  <c r="F9" s="1"/>
  <c r="K13"/>
  <c r="W201"/>
  <c r="AA201" s="1"/>
  <c r="G13" s="1"/>
  <c r="W93" i="26"/>
  <c r="AA93" s="1"/>
  <c r="F9" s="1"/>
  <c r="J9"/>
  <c r="W200"/>
  <c r="AA200" s="1"/>
  <c r="F13" s="1"/>
  <c r="J13"/>
  <c r="ED78" i="1"/>
  <c r="DS78"/>
  <c r="W174" i="26"/>
  <c r="AA174" s="1"/>
  <c r="G12" s="1"/>
  <c r="K12"/>
  <c r="W72"/>
  <c r="AA72" s="1"/>
  <c r="F8" s="1"/>
  <c r="J8"/>
  <c r="DD9" i="1"/>
  <c r="DE9" s="1"/>
  <c r="DE8"/>
  <c r="W121" i="26"/>
  <c r="AA121" s="1"/>
  <c r="G10" s="1"/>
  <c r="K10"/>
  <c r="W22"/>
  <c r="AA22" s="1"/>
  <c r="F6" s="1"/>
  <c r="J6"/>
  <c r="K7"/>
  <c r="W47"/>
  <c r="AA47" s="1"/>
  <c r="G7" s="1"/>
  <c r="EP64" i="1"/>
  <c r="EP65"/>
  <c r="EP66"/>
  <c r="EP67"/>
  <c r="EP68"/>
  <c r="EP63"/>
  <c r="J12" i="26"/>
  <c r="W173"/>
  <c r="AA173" s="1"/>
  <c r="F12" s="1"/>
  <c r="DD55" i="1"/>
  <c r="DC55"/>
  <c r="DE55"/>
  <c r="J10" i="26"/>
  <c r="W120"/>
  <c r="AA120" s="1"/>
  <c r="F10" s="1"/>
  <c r="K11"/>
  <c r="W148"/>
  <c r="AA148" s="1"/>
  <c r="G11" s="1"/>
  <c r="K9"/>
  <c r="W94"/>
  <c r="AA94" s="1"/>
  <c r="G9" s="1"/>
  <c r="W201"/>
  <c r="AA201" s="1"/>
  <c r="G13" s="1"/>
  <c r="K13"/>
  <c r="EI78" i="1"/>
  <c r="EI79"/>
  <c r="W46" i="26"/>
  <c r="AA46" s="1"/>
  <c r="F7" s="1"/>
  <c r="J7"/>
  <c r="J22" i="11"/>
  <c r="P21"/>
  <c r="K8" i="26"/>
  <c r="W73"/>
  <c r="AA73" s="1"/>
  <c r="G8" s="1"/>
  <c r="DZ82" i="1"/>
  <c r="EA82"/>
  <c r="DS80"/>
  <c r="DW76" s="1"/>
  <c r="ED80"/>
  <c r="K6" i="26"/>
  <c r="W23"/>
  <c r="AA23" s="1"/>
  <c r="G6" s="1"/>
  <c r="EM36" i="1"/>
  <c r="EM34"/>
  <c r="EM35"/>
  <c r="EM40"/>
  <c r="EM33"/>
  <c r="EM39"/>
  <c r="EM37"/>
  <c r="EM38"/>
  <c r="EA76"/>
  <c r="EM41"/>
  <c r="EM42"/>
  <c r="W147" i="26"/>
  <c r="AA147" s="1"/>
  <c r="F11" s="1"/>
  <c r="J11"/>
  <c r="ER53" i="1"/>
  <c r="ER70"/>
  <c r="ET74"/>
  <c r="O13" i="15" l="1"/>
  <c r="O6" i="16" s="1"/>
  <c r="O15" i="15"/>
  <c r="O8" i="16" s="1"/>
  <c r="O12" i="15"/>
  <c r="O5" i="16" s="1"/>
  <c r="O11" i="15"/>
  <c r="O10"/>
  <c r="DE56"/>
  <c r="DD56"/>
  <c r="DC56"/>
  <c r="EQ94"/>
  <c r="EL97"/>
  <c r="EE78"/>
  <c r="GP33"/>
  <c r="GN33"/>
  <c r="GO33"/>
  <c r="ES94"/>
  <c r="EN97"/>
  <c r="EK97"/>
  <c r="EP94"/>
  <c r="DZ76"/>
  <c r="DC59"/>
  <c r="DE59"/>
  <c r="DD59"/>
  <c r="ET47"/>
  <c r="ET51"/>
  <c r="ET50"/>
  <c r="ET48"/>
  <c r="ET46"/>
  <c r="ET49"/>
  <c r="EX55"/>
  <c r="EX57" s="1"/>
  <c r="EM91" s="1"/>
  <c r="EH82"/>
  <c r="DZ90" s="1"/>
  <c r="EC90" s="1"/>
  <c r="DW82"/>
  <c r="DW81"/>
  <c r="DZ78"/>
  <c r="EB78" s="1"/>
  <c r="DX88" s="1"/>
  <c r="DE56" i="1"/>
  <c r="DC56"/>
  <c r="DD56"/>
  <c r="EA78"/>
  <c r="EB78" s="1"/>
  <c r="EA80"/>
  <c r="EH91"/>
  <c r="EG91"/>
  <c r="EJ91"/>
  <c r="H25" i="11"/>
  <c r="P22"/>
  <c r="S22" s="1"/>
  <c r="E43" i="14" s="1"/>
  <c r="EP47" i="1"/>
  <c r="EP46"/>
  <c r="EP48"/>
  <c r="EP49"/>
  <c r="EP50"/>
  <c r="EP51"/>
  <c r="ET55"/>
  <c r="ET57" s="1"/>
  <c r="EI91" s="1"/>
  <c r="DE10"/>
  <c r="DV78"/>
  <c r="DX78" s="1"/>
  <c r="DT88" s="1"/>
  <c r="DV76"/>
  <c r="DX76" s="1"/>
  <c r="DW80"/>
  <c r="DX80" s="1"/>
  <c r="DT89" s="1"/>
  <c r="EQ107" i="15" l="1"/>
  <c r="EO117" s="1"/>
  <c r="DZ88"/>
  <c r="EC88"/>
  <c r="EM97"/>
  <c r="ER94"/>
  <c r="DD60"/>
  <c r="CY56" s="1"/>
  <c r="AI5" i="19" s="1"/>
  <c r="DE60" i="15"/>
  <c r="CZ56" s="1"/>
  <c r="DC60"/>
  <c r="CX56" s="1"/>
  <c r="EP101"/>
  <c r="EK99"/>
  <c r="EU96" s="1"/>
  <c r="EU90"/>
  <c r="EU98" s="1"/>
  <c r="ES116" s="1"/>
  <c r="F33" i="17" s="1"/>
  <c r="GM33" i="15"/>
  <c r="GL33" s="1"/>
  <c r="GN34"/>
  <c r="EL99"/>
  <c r="EV96" s="1"/>
  <c r="EQ103"/>
  <c r="EQ106" s="1"/>
  <c r="AO5" i="19" s="1"/>
  <c r="EV90" i="15"/>
  <c r="EV98" s="1"/>
  <c r="ES117" s="1"/>
  <c r="EN99"/>
  <c r="EX96" s="1"/>
  <c r="EX90"/>
  <c r="EX98" s="1"/>
  <c r="ES118" s="1"/>
  <c r="ES101"/>
  <c r="GP34"/>
  <c r="GP35" s="1"/>
  <c r="D52" i="19"/>
  <c r="O3" i="16"/>
  <c r="GO35" i="15"/>
  <c r="GO34"/>
  <c r="EE82"/>
  <c r="ED82"/>
  <c r="D54" i="19"/>
  <c r="O4" i="16"/>
  <c r="ED78" i="15"/>
  <c r="EB80" i="1"/>
  <c r="EB82"/>
  <c r="DZ78"/>
  <c r="EM94"/>
  <c r="EH97"/>
  <c r="DV88"/>
  <c r="DY96"/>
  <c r="D33" i="13" s="1"/>
  <c r="H33" s="1"/>
  <c r="DY95" i="1"/>
  <c r="D32" i="13" s="1"/>
  <c r="H32" s="1"/>
  <c r="DY94" i="1"/>
  <c r="D31" i="13" s="1"/>
  <c r="H31" s="1"/>
  <c r="DY88" i="1"/>
  <c r="DC59"/>
  <c r="DE59"/>
  <c r="DD59"/>
  <c r="EN94"/>
  <c r="EI97"/>
  <c r="H26" i="11"/>
  <c r="J25"/>
  <c r="EL94" i="1"/>
  <c r="EG97"/>
  <c r="DX84"/>
  <c r="DT87"/>
  <c r="DZ76"/>
  <c r="EO94"/>
  <c r="EJ97"/>
  <c r="DV89"/>
  <c r="DY89"/>
  <c r="EB76"/>
  <c r="EB84" s="1"/>
  <c r="DZ80"/>
  <c r="GM34" i="15" l="1"/>
  <c r="GL34" s="1"/>
  <c r="EP106"/>
  <c r="AM5" i="19" s="1"/>
  <c r="EP107" i="15"/>
  <c r="EO116" s="1"/>
  <c r="F32" i="17" s="1"/>
  <c r="EX99" i="15"/>
  <c r="AT5" i="19" s="1"/>
  <c r="EX101" i="15"/>
  <c r="EU99"/>
  <c r="AN5" i="19" s="1"/>
  <c r="EU101" i="15"/>
  <c r="EV103" s="1"/>
  <c r="EV105" s="1"/>
  <c r="EV111"/>
  <c r="D72" i="19" s="1"/>
  <c r="GO37" i="15"/>
  <c r="GO38" s="1"/>
  <c r="GP36"/>
  <c r="GP38" s="1"/>
  <c r="GP39" s="1"/>
  <c r="GN35"/>
  <c r="EV101"/>
  <c r="EV99"/>
  <c r="AP5" i="19" s="1"/>
  <c r="DW79" i="15"/>
  <c r="AJ5" i="19"/>
  <c r="GO36" i="15"/>
  <c r="ES106"/>
  <c r="AS5" i="19" s="1"/>
  <c r="ES84" i="15"/>
  <c r="ES107"/>
  <c r="EO118" s="1"/>
  <c r="EM99"/>
  <c r="EW96" s="1"/>
  <c r="ER103"/>
  <c r="ER106" s="1"/>
  <c r="AQ5" i="19" s="1"/>
  <c r="EW90" i="15"/>
  <c r="EW98" s="1"/>
  <c r="ES119" s="1"/>
  <c r="GP37"/>
  <c r="EQ90" i="1"/>
  <c r="EQ98" s="1"/>
  <c r="EO116" s="1"/>
  <c r="EL101"/>
  <c r="EL106" s="1"/>
  <c r="AO5" i="13" s="1"/>
  <c r="EG99" i="1"/>
  <c r="EQ96" s="1"/>
  <c r="EQ99" s="1"/>
  <c r="AP5" i="13" s="1"/>
  <c r="EI99" i="1"/>
  <c r="ES96" s="1"/>
  <c r="ES99" s="1"/>
  <c r="AT5" i="13" s="1"/>
  <c r="ES90" i="1"/>
  <c r="EN103"/>
  <c r="EN106" s="1"/>
  <c r="AS5" i="13" s="1"/>
  <c r="ER90" i="1"/>
  <c r="EM103"/>
  <c r="EM106" s="1"/>
  <c r="AQ5" i="13" s="1"/>
  <c r="EH99" i="1"/>
  <c r="ER96" s="1"/>
  <c r="ER99" s="1"/>
  <c r="AR5" i="13" s="1"/>
  <c r="D40" s="1"/>
  <c r="D41" s="1"/>
  <c r="EJ99" i="1"/>
  <c r="ET96" s="1"/>
  <c r="ET99" s="1"/>
  <c r="AV5" i="13" s="1"/>
  <c r="EO101" i="1"/>
  <c r="EO106" s="1"/>
  <c r="AU5" i="13" s="1"/>
  <c r="ET90" i="1"/>
  <c r="EG8"/>
  <c r="EG10" s="1"/>
  <c r="EG28"/>
  <c r="DC60"/>
  <c r="DD60"/>
  <c r="DE60"/>
  <c r="EG26"/>
  <c r="EH27"/>
  <c r="DV87"/>
  <c r="DY87" s="1"/>
  <c r="DY93" s="1"/>
  <c r="D30" i="13" s="1"/>
  <c r="H30" s="1"/>
  <c r="J26" i="11"/>
  <c r="F29"/>
  <c r="S26"/>
  <c r="E44" i="14" s="1"/>
  <c r="DZ84" i="1"/>
  <c r="EG7" s="1"/>
  <c r="EM107"/>
  <c r="EK117" s="1"/>
  <c r="F32" i="14" s="1"/>
  <c r="DW80" i="15" l="1"/>
  <c r="EH80"/>
  <c r="ES98" i="1"/>
  <c r="EO119" s="1"/>
  <c r="GM35" i="15"/>
  <c r="GL35" s="1"/>
  <c r="GO39"/>
  <c r="GO40" s="1"/>
  <c r="GO41" s="1"/>
  <c r="GO42" s="1"/>
  <c r="ER107"/>
  <c r="EO119" s="1"/>
  <c r="GN36"/>
  <c r="EW99"/>
  <c r="AR5" i="19" s="1"/>
  <c r="EW101" i="15"/>
  <c r="EV113"/>
  <c r="F30" i="11"/>
  <c r="H29"/>
  <c r="H30" s="1"/>
  <c r="EG17" i="1"/>
  <c r="EG18"/>
  <c r="EG15"/>
  <c r="EG22"/>
  <c r="EN42" s="1"/>
  <c r="EL42" s="1"/>
  <c r="EG20"/>
  <c r="EG14"/>
  <c r="EG21"/>
  <c r="EG13"/>
  <c r="EG16"/>
  <c r="EG19"/>
  <c r="EH38"/>
  <c r="EG38" s="1"/>
  <c r="EH41"/>
  <c r="EG41" s="1"/>
  <c r="EH42"/>
  <c r="EG42" s="1"/>
  <c r="EH34"/>
  <c r="EG34" s="1"/>
  <c r="EH35"/>
  <c r="EG35" s="1"/>
  <c r="EH39"/>
  <c r="EG39" s="1"/>
  <c r="EH33"/>
  <c r="EG33" s="1"/>
  <c r="EH40"/>
  <c r="EG40" s="1"/>
  <c r="EH36"/>
  <c r="EG36" s="1"/>
  <c r="EH37"/>
  <c r="EG37" s="1"/>
  <c r="EL107"/>
  <c r="EK116" s="1"/>
  <c r="GP40" i="15"/>
  <c r="GP41" s="1"/>
  <c r="GP42" s="1"/>
  <c r="ER98" i="1"/>
  <c r="EO117" s="1"/>
  <c r="F33" i="14" s="1"/>
  <c r="EO107" i="1"/>
  <c r="EK118" s="1"/>
  <c r="EN107"/>
  <c r="EK119" s="1"/>
  <c r="ET98"/>
  <c r="EO118" s="1"/>
  <c r="EO84"/>
  <c r="ED80" i="15" l="1"/>
  <c r="EE80"/>
  <c r="EA80"/>
  <c r="EB80" s="1"/>
  <c r="DX89" s="1"/>
  <c r="EA76"/>
  <c r="EB76" s="1"/>
  <c r="GN37"/>
  <c r="GM36"/>
  <c r="GL36" s="1"/>
  <c r="EF15" i="1"/>
  <c r="EN34"/>
  <c r="EL34" s="1"/>
  <c r="EN38"/>
  <c r="EL38" s="1"/>
  <c r="EF19"/>
  <c r="EF22"/>
  <c r="EN41"/>
  <c r="EL41" s="1"/>
  <c r="EF16"/>
  <c r="EN35"/>
  <c r="EL35" s="1"/>
  <c r="EN33"/>
  <c r="EL33" s="1"/>
  <c r="EF14"/>
  <c r="E32" i="11"/>
  <c r="S30"/>
  <c r="E45" i="14" s="1"/>
  <c r="EF20" i="1"/>
  <c r="EN39"/>
  <c r="EL39" s="1"/>
  <c r="EF17"/>
  <c r="EN36"/>
  <c r="EL36" s="1"/>
  <c r="EF21"/>
  <c r="EN40"/>
  <c r="EL40" s="1"/>
  <c r="EN37"/>
  <c r="EL37" s="1"/>
  <c r="EF18"/>
  <c r="L30" i="11"/>
  <c r="H15"/>
  <c r="C15" s="1"/>
  <c r="O6" i="1"/>
  <c r="EG44"/>
  <c r="EG45" s="1"/>
  <c r="EF78" i="15" l="1"/>
  <c r="EF82"/>
  <c r="EF80"/>
  <c r="EF76"/>
  <c r="GM37"/>
  <c r="GL37" s="1"/>
  <c r="GN38"/>
  <c r="DZ89"/>
  <c r="EC89"/>
  <c r="EC96"/>
  <c r="EC94"/>
  <c r="EC95"/>
  <c r="EB84"/>
  <c r="DX87"/>
  <c r="DZ87" s="1"/>
  <c r="EC87" s="1"/>
  <c r="EC93" s="1"/>
  <c r="ED76"/>
  <c r="ED84" s="1"/>
  <c r="EK7" s="1"/>
  <c r="EJ33" i="1"/>
  <c r="EK33"/>
  <c r="EI33"/>
  <c r="J6"/>
  <c r="H3" i="18"/>
  <c r="H2"/>
  <c r="H10" i="11"/>
  <c r="AA5" i="13"/>
  <c r="D35" s="1"/>
  <c r="D37" s="1"/>
  <c r="C12" i="19"/>
  <c r="H11" i="2"/>
  <c r="EG24" i="1"/>
  <c r="EG27" s="1"/>
  <c r="CV30" s="1"/>
  <c r="EK28" i="15" l="1"/>
  <c r="EK8"/>
  <c r="EK10" s="1"/>
  <c r="GN39"/>
  <c r="GM38"/>
  <c r="GL38" s="1"/>
  <c r="EF84"/>
  <c r="EI34" i="1"/>
  <c r="H4" i="18"/>
  <c r="N3"/>
  <c r="W5" i="19"/>
  <c r="EJ34" i="1"/>
  <c r="CV33"/>
  <c r="CV31"/>
  <c r="CV32"/>
  <c r="AD5" i="13"/>
  <c r="EK34" i="1"/>
  <c r="EK35" s="1"/>
  <c r="EK36" s="1"/>
  <c r="EL27" i="15" l="1"/>
  <c r="EK26"/>
  <c r="EK14"/>
  <c r="EK13"/>
  <c r="EK17"/>
  <c r="EK22"/>
  <c r="ER42" s="1"/>
  <c r="EP42" s="1"/>
  <c r="EK16"/>
  <c r="EK21"/>
  <c r="EK18"/>
  <c r="EK15"/>
  <c r="EK20"/>
  <c r="EK19"/>
  <c r="GM39"/>
  <c r="GL39" s="1"/>
  <c r="GN41"/>
  <c r="GM41" s="1"/>
  <c r="GL41" s="1"/>
  <c r="GN40"/>
  <c r="EI36" i="1"/>
  <c r="EI37" s="1"/>
  <c r="EI35"/>
  <c r="CV2"/>
  <c r="CU3" s="1"/>
  <c r="DE3"/>
  <c r="DH3" s="1"/>
  <c r="AC5" i="13"/>
  <c r="O9" i="1"/>
  <c r="N4" i="18"/>
  <c r="P5" s="1"/>
  <c r="H21"/>
  <c r="EK37" i="1"/>
  <c r="EK38" s="1"/>
  <c r="EJ35"/>
  <c r="EJ37" l="1"/>
  <c r="ER35" i="15"/>
  <c r="EP35" s="1"/>
  <c r="EJ16"/>
  <c r="GM40"/>
  <c r="GL40" s="1"/>
  <c r="GN42"/>
  <c r="GM42" s="1"/>
  <c r="GL42" s="1"/>
  <c r="GL44" s="1"/>
  <c r="GL45" s="1"/>
  <c r="ER40"/>
  <c r="EP40" s="1"/>
  <c r="EJ21"/>
  <c r="EJ17"/>
  <c r="ER36"/>
  <c r="EP36" s="1"/>
  <c r="EJ15"/>
  <c r="ER34"/>
  <c r="EP34" s="1"/>
  <c r="EJ19"/>
  <c r="ER38"/>
  <c r="EP38" s="1"/>
  <c r="ER37"/>
  <c r="EP37" s="1"/>
  <c r="EJ18"/>
  <c r="ER39"/>
  <c r="EP39" s="1"/>
  <c r="EJ20"/>
  <c r="EJ22"/>
  <c r="ER41"/>
  <c r="EP41" s="1"/>
  <c r="ER33"/>
  <c r="EP33" s="1"/>
  <c r="EJ14"/>
  <c r="EJ36" i="1"/>
  <c r="EI38"/>
  <c r="EI39" s="1"/>
  <c r="EI40" s="1"/>
  <c r="EK39"/>
  <c r="H22" i="18"/>
  <c r="P21"/>
  <c r="D29"/>
  <c r="D24" i="13"/>
  <c r="D27" s="1"/>
  <c r="J10" i="11"/>
  <c r="C10" s="1"/>
  <c r="O4" i="2"/>
  <c r="S4" i="18"/>
  <c r="E40" i="17" s="1"/>
  <c r="EJ38" i="1"/>
  <c r="EK24" i="15" l="1"/>
  <c r="EK27" s="1"/>
  <c r="CV30" s="1"/>
  <c r="EO33"/>
  <c r="EN33"/>
  <c r="EN34" s="1"/>
  <c r="EM33"/>
  <c r="EM34" s="1"/>
  <c r="EM35" s="1"/>
  <c r="EJ39" i="1"/>
  <c r="EK40"/>
  <c r="H25" i="18"/>
  <c r="P22"/>
  <c r="S22" s="1"/>
  <c r="E41" i="17" s="1"/>
  <c r="EM38" i="15"/>
  <c r="EM36"/>
  <c r="EM37" s="1"/>
  <c r="EN35"/>
  <c r="EI41" i="1"/>
  <c r="EI42" s="1"/>
  <c r="EN36" i="15"/>
  <c r="D30" i="18"/>
  <c r="EL33" i="15" l="1"/>
  <c r="EK33" s="1"/>
  <c r="EO34"/>
  <c r="CV32"/>
  <c r="AB5" i="19"/>
  <c r="CV31" i="15"/>
  <c r="CV33" s="1"/>
  <c r="EJ40" i="1"/>
  <c r="EJ41" s="1"/>
  <c r="EJ42" s="1"/>
  <c r="EK41"/>
  <c r="EK42" s="1"/>
  <c r="EM39" i="15"/>
  <c r="J25" i="18"/>
  <c r="H26"/>
  <c r="EN37" i="15"/>
  <c r="EN38" s="1"/>
  <c r="EL34" l="1"/>
  <c r="EK34" s="1"/>
  <c r="EO35"/>
  <c r="AA5" i="19"/>
  <c r="CV2" i="15"/>
  <c r="CU3" s="1"/>
  <c r="DE3"/>
  <c r="DH3" s="1"/>
  <c r="J26" i="18"/>
  <c r="S26" s="1"/>
  <c r="E42" i="17" s="1"/>
  <c r="F29" i="18"/>
  <c r="EM41" i="15"/>
  <c r="EM40"/>
  <c r="EM42"/>
  <c r="EN39"/>
  <c r="EO36" l="1"/>
  <c r="EL35"/>
  <c r="EK35" s="1"/>
  <c r="EN40"/>
  <c r="EN41" s="1"/>
  <c r="EN42" s="1"/>
  <c r="F30" i="18"/>
  <c r="H29"/>
  <c r="EL36" i="15" l="1"/>
  <c r="EK36" s="1"/>
  <c r="EO37"/>
  <c r="EO38" s="1"/>
  <c r="H30" i="18"/>
  <c r="S30" s="1"/>
  <c r="E43" i="17" s="1"/>
  <c r="H35" i="18"/>
  <c r="L35" s="1"/>
  <c r="EL38" i="15" l="1"/>
  <c r="EK38" s="1"/>
  <c r="EL37"/>
  <c r="EK37" s="1"/>
  <c r="EO39"/>
  <c r="EL39" s="1"/>
  <c r="EK39" s="1"/>
  <c r="EO40"/>
  <c r="EL40" s="1"/>
  <c r="EK40" s="1"/>
  <c r="E32" i="18"/>
  <c r="L30"/>
  <c r="D67" i="19"/>
  <c r="O7" i="15"/>
  <c r="EO41" l="1"/>
  <c r="EL41" s="1"/>
  <c r="EK41" s="1"/>
  <c r="J21" i="23"/>
  <c r="H11" i="16"/>
  <c r="EO42" i="15" l="1"/>
  <c r="EL42" s="1"/>
  <c r="EK42" s="1"/>
  <c r="EK44" s="1"/>
  <c r="EK45" s="1"/>
  <c r="J22" i="23"/>
  <c r="P21"/>
  <c r="H24" l="1"/>
  <c r="P22"/>
  <c r="T22" s="1"/>
  <c r="J24" l="1"/>
  <c r="H25"/>
  <c r="H27" l="1"/>
  <c r="J25"/>
  <c r="T25" s="1"/>
  <c r="H28" l="1"/>
  <c r="P27"/>
  <c r="T28" l="1"/>
  <c r="P28"/>
  <c r="L29" s="1"/>
  <c r="O29" s="1"/>
  <c r="D46" i="19"/>
  <c r="H5" i="23"/>
  <c r="D13" l="1"/>
  <c r="H6"/>
  <c r="P5"/>
  <c r="D14" l="1"/>
  <c r="P6"/>
  <c r="H9"/>
  <c r="S6"/>
  <c r="J9" l="1"/>
  <c r="H10"/>
  <c r="J10" l="1"/>
  <c r="S10" s="1"/>
  <c r="F13"/>
  <c r="F14" l="1"/>
  <c r="H13"/>
  <c r="H14" s="1"/>
  <c r="L14" s="1"/>
  <c r="S14" l="1"/>
  <c r="E16"/>
</calcChain>
</file>

<file path=xl/sharedStrings.xml><?xml version="1.0" encoding="utf-8"?>
<sst xmlns="http://schemas.openxmlformats.org/spreadsheetml/2006/main" count="6559" uniqueCount="991">
  <si>
    <t>PANEL</t>
  </si>
  <si>
    <t># CIRCUITS</t>
  </si>
  <si>
    <t>WIRE CU/AL?</t>
  </si>
  <si>
    <t>ERROR</t>
  </si>
  <si>
    <t>OVER CURRENT MODULE</t>
  </si>
  <si>
    <t>CONDUIT SIZING MODULE</t>
  </si>
  <si>
    <t>FED FROM</t>
  </si>
  <si>
    <t>CODE</t>
  </si>
  <si>
    <t>CELL NAME</t>
  </si>
  <si>
    <t>CIR</t>
  </si>
  <si>
    <t>HI VOLTAGE</t>
  </si>
  <si>
    <t>WIRE LENGTH</t>
  </si>
  <si>
    <t xml:space="preserve"> </t>
  </si>
  <si>
    <t>CU/AL?</t>
  </si>
  <si>
    <t>FUSE SIZING AMPS</t>
  </si>
  <si>
    <t>CONDUIT TYPE</t>
  </si>
  <si>
    <t>LOW VOLTAGE</t>
  </si>
  <si>
    <t>X</t>
  </si>
  <si>
    <t>WIRE TEMP</t>
  </si>
  <si>
    <t># OF PHASE WIRES</t>
  </si>
  <si>
    <t>WIRE AREA SQ IN</t>
  </si>
  <si>
    <t>PHASE</t>
  </si>
  <si>
    <t>MINIMUM AMPS</t>
  </si>
  <si>
    <t>DESIGN AMPS (NDA)</t>
  </si>
  <si>
    <t>% FACTOR</t>
  </si>
  <si>
    <t>MASTER</t>
  </si>
  <si>
    <t>DESIGN AMPS</t>
  </si>
  <si>
    <t>LOOKUP AMPS</t>
  </si>
  <si>
    <t>Y</t>
  </si>
  <si>
    <t>NET Y/N</t>
  </si>
  <si>
    <t>LOOKUP</t>
  </si>
  <si>
    <t>FUSE/BKR</t>
  </si>
  <si>
    <t>CONDUIT</t>
  </si>
  <si>
    <t>HAR Y/N</t>
  </si>
  <si>
    <t>GROUND</t>
  </si>
  <si>
    <t>AMP</t>
  </si>
  <si>
    <t>TABLE</t>
  </si>
  <si>
    <t>FILL</t>
  </si>
  <si>
    <t>SIZE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</si>
  <si>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</si>
  <si>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</si>
  <si>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</si>
  <si>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</si>
  <si>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</si>
  <si>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</si>
  <si>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</si>
  <si>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</si>
  <si>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SUBTOTAL</t>
  </si>
  <si>
    <t>AMPS</t>
  </si>
  <si>
    <t>RATING</t>
  </si>
  <si>
    <t>AREA</t>
  </si>
  <si>
    <t>THW</t>
  </si>
  <si>
    <t>CIRCUIT DESCRIPTION</t>
  </si>
  <si>
    <t>H</t>
  </si>
  <si>
    <t>I</t>
  </si>
  <si>
    <t>L1</t>
  </si>
  <si>
    <t>L2</t>
  </si>
  <si>
    <t>L3</t>
  </si>
  <si>
    <t>RECEPTACLE LOAD</t>
  </si>
  <si>
    <t>SQ IN</t>
  </si>
  <si>
    <t>CU</t>
  </si>
  <si>
    <t>DIVERSITY</t>
  </si>
  <si>
    <t>HARMONIC</t>
  </si>
  <si>
    <t>MOTOR</t>
  </si>
  <si>
    <t>GND WIRE CODE</t>
  </si>
  <si>
    <t>LOAD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</si>
  <si>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</si>
  <si>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</si>
  <si>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</si>
  <si>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</si>
  <si>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</si>
  <si>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</si>
  <si>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</si>
  <si>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</si>
  <si>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</si>
  <si>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1. GENERAL</t>
  </si>
  <si>
    <t>#6</t>
  </si>
  <si>
    <t>AL</t>
  </si>
  <si>
    <t>CONTINUOUS LOAD</t>
  </si>
  <si>
    <t>2. RIGID</t>
  </si>
  <si>
    <t>#4</t>
  </si>
  <si>
    <t>3. EMT</t>
  </si>
  <si>
    <t>4. IMC</t>
  </si>
  <si>
    <t>#2</t>
  </si>
  <si>
    <t>#3</t>
  </si>
  <si>
    <t>ENTER CIRCUIT #1 HARMONIC IDENTIFIER  ( H, or SPACE )</t>
  </si>
  <si>
    <t>5. PVC-40</t>
  </si>
  <si>
    <t>#1</t>
  </si>
  <si>
    <t>#</t>
  </si>
  <si>
    <t>BKR</t>
  </si>
  <si>
    <t>VA</t>
  </si>
  <si>
    <t>ENTER CIRCUIT #3 HARMONIC IDENTIFIER  ( H, or SPACE )</t>
  </si>
  <si>
    <t>6. RIGID/PVC</t>
  </si>
  <si>
    <t>#1/0</t>
  </si>
  <si>
    <t>ENTER CIRCUIT #5 HARMONIC IDENTIFIER  ( H, or SPACE )</t>
  </si>
  <si>
    <t>7. FLEX</t>
  </si>
  <si>
    <t>GND SQ IN</t>
  </si>
  <si>
    <t>#2/0</t>
  </si>
  <si>
    <t>CONDUIT SIZE</t>
  </si>
  <si>
    <t>ENTER CIRCUIT #7 HARMONIC IDENTIFIER  ( H, or SPACE )</t>
  </si>
  <si>
    <t>8. LT-FLEX</t>
  </si>
  <si>
    <t>#3/0</t>
  </si>
  <si>
    <t>ENTER CIRCUIT #9 HARMONIC IDENTIFIER  ( H, or SPACE )</t>
  </si>
  <si>
    <t>#4/0</t>
  </si>
  <si>
    <t>ENTER CIRCUIT #11 HARMONIC IDENTIFIER  ( H, or SPACE )</t>
  </si>
  <si>
    <t>ONE WAY DISTANCE</t>
  </si>
  <si>
    <t>#250</t>
  </si>
  <si>
    <t>ENTER CIRCUIT #13 HARMONIC IDENTIFIER  ( H, or SPACE )</t>
  </si>
  <si>
    <t>TOTAL LOAD</t>
  </si>
  <si>
    <t>#300</t>
  </si>
  <si>
    <t># OF WIRES</t>
  </si>
  <si>
    <t>ENTER CIRCUIT #15 HARMONIC IDENTIFIER  ( H, or SPACE )</t>
  </si>
  <si>
    <t>#350</t>
  </si>
  <si>
    <t>ENTER CIRCUIT #17 HARMONIC IDENTIFIER  ( H, or SPACE )</t>
  </si>
  <si>
    <t>#400</t>
  </si>
  <si>
    <t>ENTER CIRCUIT #19 HARMONIC IDENTIFIER  ( H, or SPACE )</t>
  </si>
  <si>
    <t>#500</t>
  </si>
  <si>
    <t>3-WIRE</t>
  </si>
  <si>
    <t>4-WIRE</t>
  </si>
  <si>
    <t>ENTER CIRCUIT #21 HARMONIC IDENTIFIER  ( H, or SPACE )</t>
  </si>
  <si>
    <t>ENTER CIRCUIT #23 HARMONIC IDENTIFIER  ( H, or SPACE )</t>
  </si>
  <si>
    <t>ENTER CIRCUIT #25 HARMONIC IDENTIFIER  ( H, or SPACE )</t>
  </si>
  <si>
    <t>ENTER CIRCUIT #27 HARMONIC IDENTIFIER  ( H, or SPACE )</t>
  </si>
  <si>
    <t>ENTER CIRCUIT #29 HARMONIC IDENTIFIER  ( H, or SPACE )</t>
  </si>
  <si>
    <t>ENTER CIRCUIT #31 HARMONIC IDENTIFIER  ( H, or SPACE )</t>
  </si>
  <si>
    <t>VOLTAGE DROP</t>
  </si>
  <si>
    <t>UNDER 800A</t>
  </si>
  <si>
    <t>ENTER CIRCUIT #33 HARMONIC IDENTIFIER  ( H, or SPACE )</t>
  </si>
  <si>
    <t>OVER 800A</t>
  </si>
  <si>
    <t>ENTER CIRCUIT #35 HARMONIC IDENTIFIER  ( H, or SPACE )</t>
  </si>
  <si>
    <t>WIRE RES</t>
  </si>
  <si>
    <t>ENTER CIRCUIT #37 HARMONIC IDENTIFIER  ( H, or SPACE )</t>
  </si>
  <si>
    <t>ENTER CIRCUIT #39 HARMONIC IDENTIFIER  ( H, or SPACE )</t>
  </si>
  <si>
    <t>ENTER CIRCUIT #41 HARMONIC IDENTIFIER  ( H, or SPACE )</t>
  </si>
  <si>
    <t xml:space="preserve"> / </t>
  </si>
  <si>
    <t xml:space="preserve"> = </t>
  </si>
  <si>
    <t>VD</t>
  </si>
  <si>
    <t>WIRE FILL SIZING MODULE</t>
  </si>
  <si>
    <t>ENTER CIRCUIT #2 HARMONIC IDENTIFIER  ( H, or SPACE )</t>
  </si>
  <si>
    <t>WIRE CODE (NPHC)</t>
  </si>
  <si>
    <t>ENTER CIRCUIT #4 HARMONIC IDENTIFIER  ( H, or SPACE )</t>
  </si>
  <si>
    <t>WIRE TYPE (NWTYP)</t>
  </si>
  <si>
    <t>ENTER CIRCUIT #6 HARMONIC IDENTIFIER  ( H, or SPACE )</t>
  </si>
  <si>
    <t>VOLTS</t>
  </si>
  <si>
    <t>CU/AL ?</t>
  </si>
  <si>
    <t>ENTER CIRCUIT #8 HARMONIC IDENTIFIER  ( H, or SPACE )</t>
  </si>
  <si>
    <t>ENTER CIRCUIT #10 HARMONIC IDENTIFIER  ( H, or SPACE )</t>
  </si>
  <si>
    <t>NEUTRAL Y/N</t>
  </si>
  <si>
    <t>ENTER CIRCUIT #12 HARMONIC IDENTIFIER  ( H, or SPACE )</t>
  </si>
  <si>
    <t>OUTPUT</t>
  </si>
  <si>
    <t>#OF WIRE</t>
  </si>
  <si>
    <t>ENTER CIRCUIT #14 HARMONIC IDENTIFIER  ( H, or SPACE )</t>
  </si>
  <si>
    <t>TOTAL WIRES</t>
  </si>
  <si>
    <t>ENTER CIRCUIT #16 HARMONIC IDENTIFIER  ( H, or SPACE )</t>
  </si>
  <si>
    <t>ENTER CIRCUIT #18 HARMONIC IDENTIFIER  ( H, or SPACE )</t>
  </si>
  <si>
    <t>VOLTAGE DROP MODULE</t>
  </si>
  <si>
    <t>ENTER CIRCUIT #20 HARMONIC IDENTIFIER  ( H, or SPACE )</t>
  </si>
  <si>
    <t>ST</t>
  </si>
  <si>
    <t>CA</t>
  </si>
  <si>
    <t>ENTER CIRCUIT #22 HARMONIC IDENTIFIER  ( H, or SPACE )</t>
  </si>
  <si>
    <t>RHW</t>
  </si>
  <si>
    <t>THHN</t>
  </si>
  <si>
    <t>XHHW</t>
  </si>
  <si>
    <t>THW-CA</t>
  </si>
  <si>
    <t>THHN-CA</t>
  </si>
  <si>
    <t>XHHW-CA</t>
  </si>
  <si>
    <t>ENTER CIRCUIT #24 HARMONIC IDENTIFIER  ( H, or SPACE )</t>
  </si>
  <si>
    <t>ENTER CIRCUIT #26 HARMONIC IDENTIFIER  ( H, or SPACE )</t>
  </si>
  <si>
    <t>ENTER CIRCUIT #28 HARMONIC IDENTIFIER  ( H, or SPACE )</t>
  </si>
  <si>
    <t>#10</t>
  </si>
  <si>
    <t>VOLTAGE</t>
  </si>
  <si>
    <t>ENTER CIRCUIT #30 HARMONIC IDENTIFIER  ( H, or SPACE )</t>
  </si>
  <si>
    <t>GROUND SIZE MODULE</t>
  </si>
  <si>
    <t>#8</t>
  </si>
  <si>
    <t>ENTER CIRCUIT #32 HARMONIC IDENTIFIER  ( H, or SPACE )</t>
  </si>
  <si>
    <t>GND Y/N? (NGYN)</t>
  </si>
  <si>
    <t>WIRE CODE</t>
  </si>
  <si>
    <t>ENTER CIRCUIT #34 HARMONIC IDENTIFIER  ( H, or SPACE )</t>
  </si>
  <si>
    <t>MAX AMPS (NMA)</t>
  </si>
  <si>
    <t>RES</t>
  </si>
  <si>
    <t>ENTER CIRCUIT #36 HARMONIC IDENTIFIER  ( H, or SPACE )</t>
  </si>
  <si>
    <t>CU/AL? (NCUAL2)</t>
  </si>
  <si>
    <t>NEC</t>
  </si>
  <si>
    <t>ENTER CIRCUIT #38 HARMONIC IDENTIFIER  ( H, or SPACE )</t>
  </si>
  <si>
    <t>GND_TABLE</t>
  </si>
  <si>
    <t>ENTER CIRCUIT #40 HARMONIC IDENTIFIER  ( H, or SPACE )</t>
  </si>
  <si>
    <t>SEL</t>
  </si>
  <si>
    <t>ENTER CIRCUIT #42 HARMONIC IDENTIFIER  ( H, or SPACE )</t>
  </si>
  <si>
    <t>OVER</t>
  </si>
  <si>
    <t>CONTINUOUS</t>
  </si>
  <si>
    <t>CURRENT</t>
  </si>
  <si>
    <t>AC/AL</t>
  </si>
  <si>
    <t>CHECK</t>
  </si>
  <si>
    <t>MAX</t>
  </si>
  <si>
    <t>OVER CURRENT</t>
  </si>
  <si>
    <t>TOTAL AREA OF CONDUCTORS</t>
  </si>
  <si>
    <t>AMPS PER WIRE</t>
  </si>
  <si>
    <t>X L</t>
  </si>
  <si>
    <t>X R</t>
  </si>
  <si>
    <t>X I</t>
  </si>
  <si>
    <t>÷ 1000</t>
  </si>
  <si>
    <t>X 0.866</t>
  </si>
  <si>
    <t xml:space="preserve"> = VD</t>
  </si>
  <si>
    <t>÷ VOLTS</t>
  </si>
  <si>
    <t xml:space="preserve"> = VD %</t>
  </si>
  <si>
    <t>ENTER NUMBER OF CIRCUITS</t>
  </si>
  <si>
    <t>ENTER GROUND WIRE Y/N</t>
  </si>
  <si>
    <t>ENTER WIRE TYPE</t>
  </si>
  <si>
    <t>ENTER WIRE CU/AL</t>
  </si>
  <si>
    <t>ENTER WIRE TEMP</t>
  </si>
  <si>
    <t>ENTER WIRE LENGTH</t>
  </si>
  <si>
    <t>ENTER CONDUIT TYPE</t>
  </si>
  <si>
    <t xml:space="preserve"> % </t>
  </si>
  <si>
    <t>USE AL ON "-CA" WIRE</t>
  </si>
  <si>
    <t>LOAD EXCEEDS 1,200 AMPS</t>
  </si>
  <si>
    <t>CIRCUIT DIRECTORY PANEL</t>
  </si>
  <si>
    <t>DESCRIPTION</t>
  </si>
  <si>
    <t>NO COPY PASTE</t>
  </si>
  <si>
    <t>Do not use the COPY and PASTE commands on this template as they can corrupt the file.</t>
  </si>
  <si>
    <t>Each cell in this template has been formatted with error checking and performance codes. When</t>
  </si>
  <si>
    <t>you copy a cell and use the PASTE command, these formats and performance codes are pasted</t>
  </si>
  <si>
    <t>to the new location.</t>
  </si>
  <si>
    <t>PASTE SPECIAL (Values Only)</t>
  </si>
  <si>
    <t>To avoid corrupting the file use the COPY and the EDIT/PASTE SPECIAL command selecting</t>
  </si>
  <si>
    <t>VALUES from the PASTE SPECIAL MENU.</t>
  </si>
  <si>
    <t>Click on Values ------</t>
  </si>
  <si>
    <t>Click OK  ----------------</t>
  </si>
  <si>
    <t>Warning DO NOT use copy/paste commands with Panel</t>
  </si>
  <si>
    <t>ACTIVE</t>
  </si>
  <si>
    <t>CIRCUIT</t>
  </si>
  <si>
    <t>ODD CIR</t>
  </si>
  <si>
    <t>EVEN CIR</t>
  </si>
  <si>
    <t>TOTAL</t>
  </si>
  <si>
    <t>CONNECTED</t>
  </si>
  <si>
    <t xml:space="preserve">LOAD CALCULATIONS FOR "PANEL </t>
  </si>
  <si>
    <t>"</t>
  </si>
  <si>
    <t xml:space="preserve"> LOAD </t>
  </si>
  <si>
    <t xml:space="preserve"> VA X .025 =</t>
  </si>
  <si>
    <t>LINE LOAD</t>
  </si>
  <si>
    <t>GENERAL LOAD</t>
  </si>
  <si>
    <t>CONTINUOUS LOAD (NEC 215.2)</t>
  </si>
  <si>
    <t>MOTOR LOAD (NEC 430.24)</t>
  </si>
  <si>
    <t>MOTOR LOAD</t>
  </si>
  <si>
    <t>KITCHEN</t>
  </si>
  <si>
    <t>KITCHEN LOAD (NEC 220.56)</t>
  </si>
  <si>
    <t xml:space="preserve">( </t>
  </si>
  <si>
    <t xml:space="preserve"> %</t>
  </si>
  <si>
    <t>WIRE SIZE MODULE (4" MAX CONDUIT)</t>
  </si>
  <si>
    <t>CALCULATED LOAD ( NEC 215.5 )</t>
  </si>
  <si>
    <t>CALCULATED LOAD WITH DEMAND FACTORS ( NEC 215.5 )</t>
  </si>
  <si>
    <t>TOTAL DESIGN LOAD</t>
  </si>
  <si>
    <t>L1 &amp; L2 RESISTANCE CALCULATION</t>
  </si>
  <si>
    <t>PARALLEL CONDUCTORS</t>
  </si>
  <si>
    <t>SINGLE CONDUCTOR</t>
  </si>
  <si>
    <t>CALCULATED RESISTANCE OF CONDUCTOR(S)</t>
  </si>
  <si>
    <t>INPUT</t>
  </si>
  <si>
    <t>MIN AMPS</t>
  </si>
  <si>
    <t xml:space="preserve"> X </t>
  </si>
  <si>
    <t xml:space="preserve"> L </t>
  </si>
  <si>
    <t xml:space="preserve"> R </t>
  </si>
  <si>
    <t xml:space="preserve"> I </t>
  </si>
  <si>
    <t xml:space="preserve"> ) </t>
  </si>
  <si>
    <t xml:space="preserve"> VD</t>
  </si>
  <si>
    <t xml:space="preserve"> ) = </t>
  </si>
  <si>
    <t>Three Phase</t>
  </si>
  <si>
    <t xml:space="preserve"> ) ÷ ( </t>
  </si>
  <si>
    <t xml:space="preserve"> x </t>
  </si>
  <si>
    <t xml:space="preserve"> UA ) + </t>
  </si>
  <si>
    <t xml:space="preserve"> MC ) = </t>
  </si>
  <si>
    <t xml:space="preserve">Step 4 - Conductor Factor CF - Formula </t>
  </si>
  <si>
    <t xml:space="preserve">Conductor Factor CF - Formula </t>
  </si>
  <si>
    <t xml:space="preserve"> L x </t>
  </si>
  <si>
    <t xml:space="preserve"> C x </t>
  </si>
  <si>
    <t xml:space="preserve"> N x </t>
  </si>
  <si>
    <t xml:space="preserve"> CF</t>
  </si>
  <si>
    <t>Print</t>
  </si>
  <si>
    <t xml:space="preserve">Step 5 - Conductor Multiplier CM - Formula </t>
  </si>
  <si>
    <t xml:space="preserve">Conductor Multiplier CM - Formula </t>
  </si>
  <si>
    <t xml:space="preserve">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</si>
  <si>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</si>
  <si>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</si>
  <si>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</si>
  <si>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</si>
  <si>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</si>
  <si>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</si>
  <si>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</si>
  <si>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</si>
  <si>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</si>
  <si>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</si>
  <si>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</si>
  <si>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C7</t>
  </si>
  <si>
    <t>Cables CU</t>
  </si>
  <si>
    <t>Cables AL</t>
  </si>
  <si>
    <t>#14</t>
  </si>
  <si>
    <t>#12</t>
  </si>
  <si>
    <t xml:space="preserve">Available Fault Current at Starting Point </t>
  </si>
  <si>
    <t xml:space="preserve"> (( </t>
  </si>
  <si>
    <t xml:space="preserve"> AFC x </t>
  </si>
  <si>
    <t xml:space="preserve"> AFC</t>
  </si>
  <si>
    <t>STELL=1 PLASTIC=2</t>
  </si>
  <si>
    <t>CU=1 AL=2</t>
  </si>
  <si>
    <t xml:space="preserve">Start &gt; </t>
  </si>
  <si>
    <t xml:space="preserve">End &gt; </t>
  </si>
  <si>
    <t xml:space="preserve"> &lt; </t>
  </si>
  <si>
    <t xml:space="preserve"> - </t>
  </si>
  <si>
    <t xml:space="preserve">' </t>
  </si>
  <si>
    <t>LENGTH</t>
  </si>
  <si>
    <t xml:space="preserve">    </t>
  </si>
  <si>
    <t>N</t>
  </si>
  <si>
    <t>3/4"</t>
  </si>
  <si>
    <t>1"</t>
  </si>
  <si>
    <t>1 1/4"</t>
  </si>
  <si>
    <t>1 1/2"</t>
  </si>
  <si>
    <t>2"</t>
  </si>
  <si>
    <t>2 1/2"</t>
  </si>
  <si>
    <t>3"</t>
  </si>
  <si>
    <t>3 1/2"</t>
  </si>
  <si>
    <t>4"</t>
  </si>
  <si>
    <t>ENTER CIRCUIT #43 HARMONIC IDENTIFIER  ( H, or SPACE )</t>
  </si>
  <si>
    <t>ENTER CIRCUIT #45 HARMONIC IDENTIFIER  ( H, or SPACE )</t>
  </si>
  <si>
    <t>ENTER CIRCUIT #47 HARMONIC IDENTIFIER  ( H, or SPACE )</t>
  </si>
  <si>
    <t>ENTER CIRCUIT #49 HARMONIC IDENTIFIER  ( H, or SPACE )</t>
  </si>
  <si>
    <t>ENTER CIRCUIT #51 HARMONIC IDENTIFIER  ( H, or SPACE )</t>
  </si>
  <si>
    <t>ENTER CIRCUIT #53 HARMONIC IDENTIFIER  ( H, or SPACE )</t>
  </si>
  <si>
    <t>ENTER CIRCUIT #55 HARMONIC IDENTIFIER  ( H, or SPACE )</t>
  </si>
  <si>
    <t>ENTER CIRCUIT #57 HARMONIC IDENTIFIER  ( H, or SPACE )</t>
  </si>
  <si>
    <t>ENTER CIRCUIT #59 HARMONIC IDENTIFIER  ( H, or SPACE )</t>
  </si>
  <si>
    <t>ENTER CIRCUIT #61 HARMONIC IDENTIFIER  ( H, or SPACE )</t>
  </si>
  <si>
    <t>ENTER CIRCUIT #63 HARMONIC IDENTIFIER  ( H, or SPACE )</t>
  </si>
  <si>
    <t>ENTER CIRCUIT #65 HARMONIC IDENTIFIER  ( H, or SPACE )</t>
  </si>
  <si>
    <t>ENTER CIRCUIT #67 HARMONIC IDENTIFIER  ( H, or SPACE )</t>
  </si>
  <si>
    <t>ENTER CIRCUIT #69 HARMONIC IDENTIFIER  ( H, or SPACE )</t>
  </si>
  <si>
    <t>ENTER CIRCUIT #71 HARMONIC IDENTIFIER  ( H, or SPACE )</t>
  </si>
  <si>
    <t>ENTER CIRCUIT #73 HARMONIC IDENTIFIER  ( H, or SPACE )</t>
  </si>
  <si>
    <t>ENTER CIRCUIT #75 HARMONIC IDENTIFIER  ( H, or SPACE )</t>
  </si>
  <si>
    <t>ENTER CIRCUIT #77 HARMONIC IDENTIFIER  ( H, or SPACE )</t>
  </si>
  <si>
    <t>ENTER CIRCUIT #79 HARMONIC IDENTIFIER  ( H, or SPACE )</t>
  </si>
  <si>
    <t>ENTER CIRCUIT #81 HARMONIC IDENTIFIER  ( H, or SPACE )</t>
  </si>
  <si>
    <t>ENTER CIRCUIT #83 HARMONIC IDENTIFIER  ( H, or SPACE )</t>
  </si>
  <si>
    <t>ENTER CIRCUIT #44 HARMONIC IDENTIFIER  ( H, or SPACE )</t>
  </si>
  <si>
    <t>ENTER CIRCUIT #46 HARMONIC IDENTIFIER  ( H, or SPACE )</t>
  </si>
  <si>
    <t>ENTER CIRCUIT #48 HARMONIC IDENTIFIER  ( H, or SPACE )</t>
  </si>
  <si>
    <t>ENTER CIRCUIT #50 HARMONIC IDENTIFIER  ( H, or SPACE )</t>
  </si>
  <si>
    <t>ENTER CIRCUIT #52 HARMONIC IDENTIFIER  ( H, or SPACE )</t>
  </si>
  <si>
    <t>ENTER CIRCUIT #54 HARMONIC IDENTIFIER  ( H, or SPACE )</t>
  </si>
  <si>
    <t>ENTER CIRCUIT #56 HARMONIC IDENTIFIER  ( H, or SPACE )</t>
  </si>
  <si>
    <t>ENTER CIRCUIT #58 HARMONIC IDENTIFIER  ( H, or SPACE )</t>
  </si>
  <si>
    <t>ENTER CIRCUIT #60 HARMONIC IDENTIFIER  ( H, or SPACE )</t>
  </si>
  <si>
    <t>ENTER CIRCUIT #62 HARMONIC IDENTIFIER  ( H, or SPACE )</t>
  </si>
  <si>
    <t>ENTER CIRCUIT #64 HARMONIC IDENTIFIER  ( H, or SPACE )</t>
  </si>
  <si>
    <t>ENTER CIRCUIT #66 HARMONIC IDENTIFIER  ( H, or SPACE )</t>
  </si>
  <si>
    <t>ENTER CIRCUIT #68 HARMONIC IDENTIFIER  ( H, or SPACE )</t>
  </si>
  <si>
    <t>ENTER CIRCUIT #70 HARMONIC IDENTIFIER  ( H, or SPACE )</t>
  </si>
  <si>
    <t>ENTER CIRCUIT #72 HARMONIC IDENTIFIER  ( H, or SPACE )</t>
  </si>
  <si>
    <t>ENTER CIRCUIT #74 HARMONIC IDENTIFIER  ( H, or SPACE )</t>
  </si>
  <si>
    <t>ENTER CIRCUIT #76 HARMONIC IDENTIFIER  ( H, or SPACE )</t>
  </si>
  <si>
    <t>ENTER CIRCUIT #78 HARMONIC IDENTIFIER  ( H, or SPACE )</t>
  </si>
  <si>
    <t>ENTER CIRCUIT #80 HARMONIC IDENTIFIER  ( H, or SPACE )</t>
  </si>
  <si>
    <t>ENTER CIRCUIT #82 HARMONIC IDENTIFIER  ( H, or SPACE )</t>
  </si>
  <si>
    <t>ENTER CIRCUIT #84 HARMONIC IDENTIFIER  ( H, or SPACE )</t>
  </si>
  <si>
    <t xml:space="preserve"> (</t>
  </si>
  <si>
    <t>-</t>
  </si>
  <si>
    <t># OF CONDUITS</t>
  </si>
  <si>
    <t>A</t>
  </si>
  <si>
    <t>ENTER UTILITY VOLTAGE ADJUSTMENT</t>
  </si>
  <si>
    <t>ENTER AFC AT STARTING POINT</t>
  </si>
  <si>
    <t>ENTER # OF KITCHEN LOADS</t>
  </si>
  <si>
    <t xml:space="preserve"> AFC X </t>
  </si>
  <si>
    <t xml:space="preserve"> L X </t>
  </si>
  <si>
    <t xml:space="preserve"> C X </t>
  </si>
  <si>
    <t xml:space="preserve"> N X </t>
  </si>
  <si>
    <t>AFC</t>
  </si>
  <si>
    <t xml:space="preserve"> - Available Fault Current</t>
  </si>
  <si>
    <t>CF</t>
  </si>
  <si>
    <t xml:space="preserve"> - Conductor Factor</t>
  </si>
  <si>
    <t>C</t>
  </si>
  <si>
    <t xml:space="preserve"> - Conductor Constant</t>
  </si>
  <si>
    <t xml:space="preserve"> - Number of Conductors Per Phase</t>
  </si>
  <si>
    <t>CM</t>
  </si>
  <si>
    <t xml:space="preserve"> - Conductor Multiplier</t>
  </si>
  <si>
    <t>CLC</t>
  </si>
  <si>
    <t xml:space="preserve"> - Conductor Let-Through Current</t>
  </si>
  <si>
    <t>UA</t>
  </si>
  <si>
    <t>L</t>
  </si>
  <si>
    <t xml:space="preserve"> - Length of Conductor</t>
  </si>
  <si>
    <t xml:space="preserve"> V ) = </t>
  </si>
  <si>
    <t>TEXT</t>
  </si>
  <si>
    <t>VALUE</t>
  </si>
  <si>
    <t>LOADS</t>
  </si>
  <si>
    <t>NAME</t>
  </si>
  <si>
    <t>NUMBER</t>
  </si>
  <si>
    <t>Y/N</t>
  </si>
  <si>
    <t>ENTER PHASE</t>
  </si>
  <si>
    <t>LEG</t>
  </si>
  <si>
    <t>G</t>
  </si>
  <si>
    <t>TOTALS</t>
  </si>
  <si>
    <t>DELTA</t>
  </si>
  <si>
    <t>RECEPTACLE LOAD (NEC 220.14)</t>
  </si>
  <si>
    <t>AM72-CA</t>
  </si>
  <si>
    <t>HI VOTLS</t>
  </si>
  <si>
    <t>LOW VOTLS</t>
  </si>
  <si>
    <t>1-PHASE</t>
  </si>
  <si>
    <t>3-PHASE DELTA</t>
  </si>
  <si>
    <t>3-PHASE Y</t>
  </si>
  <si>
    <t>1ST 10,000W</t>
  </si>
  <si>
    <t>FIRST 10,000 W</t>
  </si>
  <si>
    <t>RECEPTACLE</t>
  </si>
  <si>
    <t>PLUS 25%</t>
  </si>
  <si>
    <t>PLUS 25% OF LARGEST MOTOR</t>
  </si>
  <si>
    <t>KITCHEN LOADS</t>
  </si>
  <si>
    <t xml:space="preserve">L1 ( </t>
  </si>
  <si>
    <t xml:space="preserve">L2 ( </t>
  </si>
  <si>
    <t xml:space="preserve">L3 ( </t>
  </si>
  <si>
    <t>NEUTRAL SIZE</t>
  </si>
  <si>
    <t>AUTO</t>
  </si>
  <si>
    <t>ENTER CIRCUIT #2 NEUTRAL IDENTIFIER  ( N or SPACE )</t>
  </si>
  <si>
    <t>ENTER CIRCUIT #6 NEUTRAL IDENTIFIER  ( N or SPACE )</t>
  </si>
  <si>
    <t>ENTER CIRCUIT #8 NEUTRAL IDENTIFIER  ( N or SPACE )</t>
  </si>
  <si>
    <t>ENTER CIRCUIT #12 NEUTRAL IDENTIFIER  ( N or SPACE )</t>
  </si>
  <si>
    <t>ENTER CIRCUIT #14 NEUTRAL IDENTIFIER  ( N or SPACE )</t>
  </si>
  <si>
    <t>ENTER CIRCUIT #18 NEUTRAL IDENTIFIER  ( N or SPACE )</t>
  </si>
  <si>
    <t>ENTER CIRCUIT #20 NEUTRAL IDENTIFIER  ( N or SPACE )</t>
  </si>
  <si>
    <t>ENTER CIRCUIT #24 NEUTRAL IDENTIFIER  ( N or SPACE )</t>
  </si>
  <si>
    <t>ENTER CIRCUIT #26 NEUTRAL IDENTIFIER  ( N or SPACE )</t>
  </si>
  <si>
    <t>ENTER CIRCUIT #30 NEUTRAL IDENTIFIER  ( N or SPACE )</t>
  </si>
  <si>
    <t>ENTER CIRCUIT #32 NEUTRAL IDENTIFIER  ( N or SPACE )</t>
  </si>
  <si>
    <t>ENTER CIRCUIT #36 NEUTRAL IDENTIFIER  ( N or SPACE )</t>
  </si>
  <si>
    <t>ENTER CIRCUIT #38 NEUTRAL IDENTIFIER  ( N or SPACE )</t>
  </si>
  <si>
    <t>ENTER CIRCUIT #42 NEUTRAL IDENTIFIER  ( N or SPACE )</t>
  </si>
  <si>
    <t>ENTER CIRCUIT #44 NEUTRAL IDENTIFIER  ( N or SPACE )</t>
  </si>
  <si>
    <t>ENTER CIRCUIT #48 NEUTRAL IDENTIFIER  ( N or SPACE )</t>
  </si>
  <si>
    <t>ENTER CIRCUIT #50 NEUTRAL IDENTIFIER  ( N or SPACE )</t>
  </si>
  <si>
    <t>ENTER CIRCUIT #54 NEUTRAL IDENTIFIER  ( N or SPACE )</t>
  </si>
  <si>
    <t>ENTER CIRCUIT #56 NEUTRAL IDENTIFIER  ( N or SPACE )</t>
  </si>
  <si>
    <t>ENTER CIRCUIT #60 NEUTRAL IDENTIFIER  ( N or SPACE )</t>
  </si>
  <si>
    <t>ENTER CIRCUIT #62 NEUTRAL IDENTIFIER  ( N or SPACE )</t>
  </si>
  <si>
    <t>ENTER CIRCUIT #66 NEUTRAL IDENTIFIER  ( N or SPACE )</t>
  </si>
  <si>
    <t>ENTER CIRCUIT #68 NEUTRAL IDENTIFIER  ( N or SPACE )</t>
  </si>
  <si>
    <t>ENTER CIRCUIT #72 NEUTRAL IDENTIFIER  ( N or SPACE )</t>
  </si>
  <si>
    <t>ENTER CIRCUIT #74 NEUTRAL IDENTIFIER  ( N or SPACE )</t>
  </si>
  <si>
    <t>ENTER CIRCUIT #78 NEUTRAL IDENTIFIER  ( N or SPACE )</t>
  </si>
  <si>
    <t>ENTER CIRCUIT #80 NEUTRAL IDENTIFIER  ( N or SPACE )</t>
  </si>
  <si>
    <t>ENTER CIRCUIT #84 NEUTRAL IDENTIFIER  ( N or SPACE )</t>
  </si>
  <si>
    <t>ENTER CIRCUIT #1 NEUTRAL IDENTIFIER  ( N or SPACE )</t>
  </si>
  <si>
    <t>ENTER CIRCUIT #5 NEUTRAL IDENTIFIER  ( N or SPACE )</t>
  </si>
  <si>
    <t>ENTER CIRCUIT #7 NEUTRAL IDENTIFIER  ( N or SPACE )</t>
  </si>
  <si>
    <t>ENTER CIRCUIT #11 NEUTRAL IDENTIFIER  ( N or SPACE )</t>
  </si>
  <si>
    <t>ENTER CIRCUIT #13 NEUTRAL IDENTIFIER  ( N or SPACE )</t>
  </si>
  <si>
    <t>ENTER CIRCUIT #17 NEUTRAL IDENTIFIER  ( N or SPACE )</t>
  </si>
  <si>
    <t>ENTER CIRCUIT #19 NEUTRAL IDENTIFIER  ( N or SPACE )</t>
  </si>
  <si>
    <t>ENTER CIRCUIT #23 NEUTRAL IDENTIFIER  ( N or SPACE )</t>
  </si>
  <si>
    <t>ENTER CIRCUIT #25 NEUTRAL IDENTIFIER  ( N or SPACE )</t>
  </si>
  <si>
    <t>ENTER CIRCUIT #29 NEUTRAL IDENTIFIER  ( N or SPACE )</t>
  </si>
  <si>
    <t>ENTER CIRCUIT #31 NEUTRAL IDENTIFIER  ( N or SPACE )</t>
  </si>
  <si>
    <t>ENTER CIRCUIT #35 NEUTRAL IDENTIFIER  ( N or SPACE )</t>
  </si>
  <si>
    <t>ENTER CIRCUIT #37 NEUTRAL IDENTIFIER  ( N or SPACE )</t>
  </si>
  <si>
    <t>ENTER CIRCUIT #41 NEUTRAL IDENTIFIER  ( N or SPACE )</t>
  </si>
  <si>
    <t>ENTER CIRCUIT #43 NEUTRAL IDENTIFIER  ( N or SPACE )</t>
  </si>
  <si>
    <t>ENTER CIRCUIT #47 NEUTRAL IDENTIFIER  ( N or SPACE )</t>
  </si>
  <si>
    <t>ENTER CIRCUIT #49 NEUTRAL IDENTIFIER  ( N or SPACE )</t>
  </si>
  <si>
    <t>ENTER CIRCUIT #53 NEUTRAL IDENTIFIER  ( N or SPACE )</t>
  </si>
  <si>
    <t>ENTER CIRCUIT #55 NEUTRAL IDENTIFIER  ( N or SPACE )</t>
  </si>
  <si>
    <t>ENTER CIRCUIT #59 NEUTRAL IDENTIFIER  ( N or SPACE )</t>
  </si>
  <si>
    <t>ENTER CIRCUIT #61 NEUTRAL IDENTIFIER  ( N or SPACE )</t>
  </si>
  <si>
    <t>ENTER CIRCUIT #65 NEUTRAL IDENTIFIER  ( N or SPACE )</t>
  </si>
  <si>
    <t>ENTER CIRCUIT #67 NEUTRAL IDENTIFIER  ( N or SPACE )</t>
  </si>
  <si>
    <t>ENTER CIRCUIT #71 NEUTRAL IDENTIFIER  ( N or SPACE )</t>
  </si>
  <si>
    <t>ENTER CIRCUIT #73 NEUTRAL IDENTIFIER  ( N or SPACE )</t>
  </si>
  <si>
    <t>ENTER CIRCUIT #77 NEUTRAL IDENTIFIER  ( N or SPACE )</t>
  </si>
  <si>
    <t>ENTER CIRCUIT #79 NEUTRAL IDENTIFIER  ( N or SPACE )</t>
  </si>
  <si>
    <t>ENTER CIRCUIT #83 NEUTRAL IDENTIFIER  ( N or SPACE )</t>
  </si>
  <si>
    <t>NEUTRAL</t>
  </si>
  <si>
    <t>3-PHASE</t>
  </si>
  <si>
    <t>NEUTRAL LOAD</t>
  </si>
  <si>
    <t>BREAKER</t>
  </si>
  <si>
    <t>MAIN BKR / FUSE</t>
  </si>
  <si>
    <t>ENTER MAIN BKR / FUSE</t>
  </si>
  <si>
    <t xml:space="preserve"> SIZE </t>
  </si>
  <si>
    <t>3Y</t>
  </si>
  <si>
    <t>KKK</t>
  </si>
  <si>
    <t>NO TRANSFORMER 3-PHASE Y</t>
  </si>
  <si>
    <t>HARMONIC LOAD</t>
  </si>
  <si>
    <t>CONNECTED LOAD</t>
  </si>
  <si>
    <t>50% CONNECTED</t>
  </si>
  <si>
    <t>L1-L3</t>
  </si>
  <si>
    <t>NETURAL</t>
  </si>
  <si>
    <t>NEUTRAL AMPS</t>
  </si>
  <si>
    <t>L2 AMPS</t>
  </si>
  <si>
    <t>L1-L3 WIRE CODE</t>
  </si>
  <si>
    <t>L1-L3 SQ IN</t>
  </si>
  <si>
    <t>L2 WIRE CODE</t>
  </si>
  <si>
    <t>L2 SQ IN</t>
  </si>
  <si>
    <t>NET WIRE CODE</t>
  </si>
  <si>
    <t>NET SQ IN</t>
  </si>
  <si>
    <t>L1,L3</t>
  </si>
  <si>
    <t>NET</t>
  </si>
  <si>
    <t>PERCENT FILL</t>
  </si>
  <si>
    <t>2-WIRE</t>
  </si>
  <si>
    <t>DIFFERENT SIZE WIRES</t>
  </si>
  <si>
    <t>SAME SIZE WIRES</t>
  </si>
  <si>
    <t>FEEDER CONDUIT</t>
  </si>
  <si>
    <t>WIRE SIZE  L1</t>
  </si>
  <si>
    <t>WIRE SIZE  L2</t>
  </si>
  <si>
    <t>NUMBER OF</t>
  </si>
  <si>
    <t>CIRCUITS</t>
  </si>
  <si>
    <t>OF</t>
  </si>
  <si>
    <t>HIGH</t>
  </si>
  <si>
    <t>LOW</t>
  </si>
  <si>
    <t>HIGH LEG</t>
  </si>
  <si>
    <t>BUS</t>
  </si>
  <si>
    <t>TYPE</t>
  </si>
  <si>
    <t>CA/AL</t>
  </si>
  <si>
    <t>TEMP</t>
  </si>
  <si>
    <t>MINIMUM</t>
  </si>
  <si>
    <t>MAIN</t>
  </si>
  <si>
    <t>CALC</t>
  </si>
  <si>
    <t>METHOD</t>
  </si>
  <si>
    <t>AFC AT</t>
  </si>
  <si>
    <t>START</t>
  </si>
  <si>
    <t>POINT</t>
  </si>
  <si>
    <t>UTILITY</t>
  </si>
  <si>
    <t>THIS</t>
  </si>
  <si>
    <t>CONDUITS</t>
  </si>
  <si>
    <t>3D</t>
  </si>
  <si>
    <t>LOAD ERROR</t>
  </si>
  <si>
    <t>DELTA LOAD ERROR</t>
  </si>
  <si>
    <t>WIRE SIZE NEUTRAL</t>
  </si>
  <si>
    <t>WIRE SIZE GROUND</t>
  </si>
  <si>
    <t>HI LEG FUSE</t>
  </si>
  <si>
    <t>HI LEG</t>
  </si>
  <si>
    <t>L2 RESISTANCE CALCULATION</t>
  </si>
  <si>
    <t>ENTER % FACTOR L2</t>
  </si>
  <si>
    <t>MAX LINE AMPS</t>
  </si>
  <si>
    <t>MAX WATTS</t>
  </si>
  <si>
    <t>ENTER MINIMUM NET AMPS</t>
  </si>
  <si>
    <t>HI</t>
  </si>
  <si>
    <t>VD %</t>
  </si>
  <si>
    <t xml:space="preserve"> % VD</t>
  </si>
  <si>
    <t xml:space="preserve">' L X </t>
  </si>
  <si>
    <t xml:space="preserve"> R X </t>
  </si>
  <si>
    <t xml:space="preserve"> V X </t>
  </si>
  <si>
    <t>L1 &amp; L3</t>
  </si>
  <si>
    <t>L1 L2 L3</t>
  </si>
  <si>
    <t>3-PHASE D</t>
  </si>
  <si>
    <t>% VD</t>
  </si>
  <si>
    <t>LARGEST</t>
  </si>
  <si>
    <t>IMPUT</t>
  </si>
  <si>
    <t>AT MIAN</t>
  </si>
  <si>
    <t xml:space="preserve"> AFC  ) ÷ ( </t>
  </si>
  <si>
    <t xml:space="preserve"> A ÷ </t>
  </si>
  <si>
    <t xml:space="preserve"> ÷ </t>
  </si>
  <si>
    <t xml:space="preserve"> VD ÷ </t>
  </si>
  <si>
    <t>Single Phase</t>
  </si>
  <si>
    <t>Voltage Drop %</t>
  </si>
  <si>
    <t>Voltage Drop % L1 &amp; L3</t>
  </si>
  <si>
    <t>Voltage Drop L1 &amp; L3</t>
  </si>
  <si>
    <t>Voltage Drop L2 ( Hi-Leg )</t>
  </si>
  <si>
    <t>Voltage Drop % L2 ( Hi-Leg )</t>
  </si>
  <si>
    <t>HARMONIC %</t>
  </si>
  <si>
    <t xml:space="preserve">Harmonic Load </t>
  </si>
  <si>
    <t xml:space="preserve"> VA ÷ </t>
  </si>
  <si>
    <t xml:space="preserve">Connected Load </t>
  </si>
  <si>
    <t xml:space="preserve"> VA ) X 100 = </t>
  </si>
  <si>
    <t>MC</t>
  </si>
  <si>
    <t># KITCHEN LOADS</t>
  </si>
  <si>
    <t>ENTER FAULT CURRENT CALCS METHOD &gt; &gt;</t>
  </si>
  <si>
    <t># OF CIRCUITS</t>
  </si>
  <si>
    <t>CONNECTED ON (L2) LOAD MAY NOT EXCEED LOAD ON (L1 &amp; L3)</t>
  </si>
  <si>
    <t>ADJUSTMENT FACTOR</t>
  </si>
  <si>
    <t>ENTER PANEL NAME</t>
  </si>
  <si>
    <t>ENTER SOURCE</t>
  </si>
  <si>
    <t>HI-LEG SIZE</t>
  </si>
  <si>
    <t>TRANSFORMER (1-PHASE)</t>
  </si>
  <si>
    <t>SUB PANEL VOLTAGE HI</t>
  </si>
  <si>
    <t>KVA</t>
  </si>
  <si>
    <t>SINGLE PHASE TRANSFORMERS</t>
  </si>
  <si>
    <t>THREE PHASE TRANSFORMERS</t>
  </si>
  <si>
    <t>TRANSFORMER</t>
  </si>
  <si>
    <t>MENU</t>
  </si>
  <si>
    <t>ERROR &gt;</t>
  </si>
  <si>
    <t>PRIMARY</t>
  </si>
  <si>
    <t>ENTER CALCULATION METHOD &gt; &gt;</t>
  </si>
  <si>
    <t>SECONDARY</t>
  </si>
  <si>
    <t>PANEL VOLTAGE HI</t>
  </si>
  <si>
    <t>GROUND SIZE MODULE PRIMARY</t>
  </si>
  <si>
    <t>LINE</t>
  </si>
  <si>
    <t>GROUND CODE</t>
  </si>
  <si>
    <t>PRIMARY WIRE LOOKUP</t>
  </si>
  <si>
    <t>SELECTED KVA</t>
  </si>
  <si>
    <t>DESIGN AMPS XMFR</t>
  </si>
  <si>
    <t>MIN AMPS XMFR</t>
  </si>
  <si>
    <t>1=PHASE</t>
  </si>
  <si>
    <t>TOTAL BALANCED LOAD (1-PHASE)</t>
  </si>
  <si>
    <t>TOTAL UNBALANCED LOAD (1-PHASE)</t>
  </si>
  <si>
    <t>LINE AMPS BALANCED (1-PHASE)</t>
  </si>
  <si>
    <t>LINE AMPS UNBALANCED (1-PHASE)</t>
  </si>
  <si>
    <t>Step 4 - Calculated Factor F</t>
  </si>
  <si>
    <t xml:space="preserve"> SV ) = </t>
  </si>
  <si>
    <t>3-Conductor</t>
  </si>
  <si>
    <t>Step 5 - Calculate M</t>
  </si>
  <si>
    <t>Step 6 - Available Short Circuit (RMS Symmetrical)</t>
  </si>
  <si>
    <t>SECONDARY TRANSFORMER</t>
  </si>
  <si>
    <t>Step A Calculate TF</t>
  </si>
  <si>
    <t xml:space="preserve"> PV x </t>
  </si>
  <si>
    <t xml:space="preserve"> %Z ) ÷ ( </t>
  </si>
  <si>
    <t xml:space="preserve"> KVA ) = </t>
  </si>
  <si>
    <t>250 MCM</t>
  </si>
  <si>
    <t xml:space="preserve"> TF</t>
  </si>
  <si>
    <t xml:space="preserve">Calculate TF </t>
  </si>
  <si>
    <t>300 MCM</t>
  </si>
  <si>
    <t>Step B Calculate tM</t>
  </si>
  <si>
    <t xml:space="preserve">  KVA</t>
  </si>
  <si>
    <t>350 MCM</t>
  </si>
  <si>
    <t xml:space="preserve"> ) / ( </t>
  </si>
  <si>
    <t xml:space="preserve"> TF ) = </t>
  </si>
  <si>
    <t xml:space="preserve"> TM</t>
  </si>
  <si>
    <t>400 MCM</t>
  </si>
  <si>
    <t xml:space="preserve">Calculate TM </t>
  </si>
  <si>
    <t>500 MCM</t>
  </si>
  <si>
    <t>Step C Calculate TLC</t>
  </si>
  <si>
    <t>600 MCM</t>
  </si>
  <si>
    <t xml:space="preserve">(((( </t>
  </si>
  <si>
    <t xml:space="preserve"> PV ÷ </t>
  </si>
  <si>
    <t xml:space="preserve"> SV ) ÷ ( </t>
  </si>
  <si>
    <t xml:space="preserve"> TM x </t>
  </si>
  <si>
    <t xml:space="preserve"> AFC )) x  </t>
  </si>
  <si>
    <t xml:space="preserve"> TLC</t>
  </si>
  <si>
    <t>750 MCM</t>
  </si>
  <si>
    <t xml:space="preserve">Calculate TLC </t>
  </si>
  <si>
    <t>1000 MCM</t>
  </si>
  <si>
    <t>÷</t>
  </si>
  <si>
    <t>480</t>
  </si>
  <si>
    <t>0.282</t>
  </si>
  <si>
    <t>46,000</t>
  </si>
  <si>
    <t>ua</t>
  </si>
  <si>
    <t>mc</t>
  </si>
  <si>
    <t>%Z</t>
  </si>
  <si>
    <t xml:space="preserve"> - Transformer Impedance Value Nameplate %Z</t>
  </si>
  <si>
    <t xml:space="preserve"> - Kilovolt Amps</t>
  </si>
  <si>
    <t>#14 Cable CU</t>
  </si>
  <si>
    <t>#14 Cable AL</t>
  </si>
  <si>
    <t xml:space="preserve"> AL</t>
  </si>
  <si>
    <t>#12 Cable CU</t>
  </si>
  <si>
    <t>#12 Cable AL</t>
  </si>
  <si>
    <t xml:space="preserve"> - Motor Short-Circuit Contribution</t>
  </si>
  <si>
    <t>#10 Cable CU</t>
  </si>
  <si>
    <t>#10 Cable AL</t>
  </si>
  <si>
    <t>#8 Cable CU</t>
  </si>
  <si>
    <t>#8 Cable AL</t>
  </si>
  <si>
    <t>PV</t>
  </si>
  <si>
    <t xml:space="preserve"> - Primary Voltage</t>
  </si>
  <si>
    <t>#6 Cable CU</t>
  </si>
  <si>
    <t>#6 Cable AL</t>
  </si>
  <si>
    <t>SV</t>
  </si>
  <si>
    <t xml:space="preserve"> - Secondary Voltage</t>
  </si>
  <si>
    <t>#4 Cable CU</t>
  </si>
  <si>
    <t>#4 Cable AL</t>
  </si>
  <si>
    <t>TF</t>
  </si>
  <si>
    <t xml:space="preserve"> - Transformer Factor</t>
  </si>
  <si>
    <t>#3 Cable CU</t>
  </si>
  <si>
    <t>#3 Cable AL</t>
  </si>
  <si>
    <t>TLC</t>
  </si>
  <si>
    <t xml:space="preserve"> - Transformer Let-Through Current</t>
  </si>
  <si>
    <t>1 Conductor(s) Per Phase</t>
  </si>
  <si>
    <t>#2 Cable CU</t>
  </si>
  <si>
    <t>#2 Cable AL</t>
  </si>
  <si>
    <t>TM</t>
  </si>
  <si>
    <t xml:space="preserve"> - Transformer Multiplier</t>
  </si>
  <si>
    <t>2 Conductor(s) Per Phase</t>
  </si>
  <si>
    <t>#1 Cable CU</t>
  </si>
  <si>
    <t>#1 Cable AL</t>
  </si>
  <si>
    <t xml:space="preserve"> - Utility Adjustment 1.1 ( Voltages May Vary 10% )</t>
  </si>
  <si>
    <t>3 Conductor(s) Per Phase</t>
  </si>
  <si>
    <t>#1/0 Cable CU</t>
  </si>
  <si>
    <t>#1/0 Cable AL</t>
  </si>
  <si>
    <t>4 Conductor(s) Per Phase</t>
  </si>
  <si>
    <t>#2/0 Cable CU</t>
  </si>
  <si>
    <t>#2/0 Cable AL</t>
  </si>
  <si>
    <t>5 Conductor(s) Per Phase</t>
  </si>
  <si>
    <t>#3/0 Cable CU</t>
  </si>
  <si>
    <t>#3/0 Cable AL</t>
  </si>
  <si>
    <t>6 Conductor(s) Per Phase</t>
  </si>
  <si>
    <t>#4/0 Cable CU</t>
  </si>
  <si>
    <t>#4/0 Cable AL</t>
  </si>
  <si>
    <t>7 Conductor(s) Per Phase</t>
  </si>
  <si>
    <t>250 MCM Cable CU</t>
  </si>
  <si>
    <t>250 MCM Cable AL</t>
  </si>
  <si>
    <t>8 Conductor(s) Per Phase</t>
  </si>
  <si>
    <t>300 MCM Cable CU</t>
  </si>
  <si>
    <t>300 MCM Cable AL</t>
  </si>
  <si>
    <t>9 Conductor(s) Per Phase</t>
  </si>
  <si>
    <t>350 MCM Cable CU</t>
  </si>
  <si>
    <t>350 MCM Cable AL</t>
  </si>
  <si>
    <t>10 Conductor(s) Per Phase</t>
  </si>
  <si>
    <t>400 MCM Cable CU</t>
  </si>
  <si>
    <t>400 MCM Cable AL</t>
  </si>
  <si>
    <t>11 Conductor(s) Per Phase</t>
  </si>
  <si>
    <t>500 MCM Cable CU</t>
  </si>
  <si>
    <t>500 MCM Cable AL</t>
  </si>
  <si>
    <t>12 Conductor(s) Per Phase</t>
  </si>
  <si>
    <t>600 MCM Cable CU</t>
  </si>
  <si>
    <t>600 MCM Cable AL</t>
  </si>
  <si>
    <t>13 Conductor(s) Per Phase</t>
  </si>
  <si>
    <t>750 MCM Cable CU</t>
  </si>
  <si>
    <t>750 MCM Cable AL</t>
  </si>
  <si>
    <t>14 Conductor(s) Per Phase</t>
  </si>
  <si>
    <t>1000 MCM Cable CU</t>
  </si>
  <si>
    <t>1000 MCM Cable AL</t>
  </si>
  <si>
    <t>15 Conductor(s) Per Phase</t>
  </si>
  <si>
    <t>16 Conductor(s) Per Phase</t>
  </si>
  <si>
    <t>17 Conductor(s) Per Phase</t>
  </si>
  <si>
    <t>18 Conductor(s) Per Phase</t>
  </si>
  <si>
    <t>19 Conductor(s) Per Phase</t>
  </si>
  <si>
    <t>20 Conductor(s) Per Phase</t>
  </si>
  <si>
    <t>Primary voltage</t>
  </si>
  <si>
    <t>PRIMARY MIN</t>
  </si>
  <si>
    <t>XMFR AMPS</t>
  </si>
  <si>
    <t>SYSTEM GROUND</t>
  </si>
  <si>
    <t xml:space="preserve">CONDUCTOR </t>
  </si>
  <si>
    <t>SIZE CODE</t>
  </si>
  <si>
    <t>GND</t>
  </si>
  <si>
    <t>SYS</t>
  </si>
  <si>
    <t>#600</t>
  </si>
  <si>
    <t>#700</t>
  </si>
  <si>
    <t>#750</t>
  </si>
  <si>
    <t>#800</t>
  </si>
  <si>
    <t>#900</t>
  </si>
  <si>
    <t>#1000</t>
  </si>
  <si>
    <t>#1250</t>
  </si>
  <si>
    <t>#1500</t>
  </si>
  <si>
    <t>#1750</t>
  </si>
  <si>
    <t>#2000</t>
  </si>
  <si>
    <t>ENTER TRANSFORMER % Z RATING</t>
  </si>
  <si>
    <t>A - Amps</t>
  </si>
  <si>
    <t>AFC - Available Fault Current</t>
  </si>
  <si>
    <t>C - Conductor Constant</t>
  </si>
  <si>
    <t>CF - Conductor Factor</t>
  </si>
  <si>
    <t>CLC - Conductor Let-Through Current</t>
  </si>
  <si>
    <t>CM - Conductor Multiplier</t>
  </si>
  <si>
    <t>KVA - Kilovolt Amps</t>
  </si>
  <si>
    <t>L - Length of Conductor</t>
  </si>
  <si>
    <t>MC - Motor Contribution</t>
  </si>
  <si>
    <t>N - Number of Conductors Per Phase</t>
  </si>
  <si>
    <t>PV - Primary Voltage</t>
  </si>
  <si>
    <t>R - Resistance</t>
  </si>
  <si>
    <t>SV - Secondary Voltage</t>
  </si>
  <si>
    <t>TF - Transformer Factor</t>
  </si>
  <si>
    <t>TLC - Transformer Let-Through Current</t>
  </si>
  <si>
    <t>TM - Transformer Multiplier</t>
  </si>
  <si>
    <t>UA - Utility Adjustment 1.1</t>
  </si>
  <si>
    <t>V - Voltage</t>
  </si>
  <si>
    <t>VA - Volt Amps</t>
  </si>
  <si>
    <t>VD - Voltage Drop</t>
  </si>
  <si>
    <t>%Z - Transformer Impedance Nameplate %Z</t>
  </si>
  <si>
    <t xml:space="preserve"> PV ) = </t>
  </si>
  <si>
    <t>VOLTAGE DROP MODULE PRIMARY</t>
  </si>
  <si>
    <t>RESISTANCE CALCULATION</t>
  </si>
  <si>
    <t>FACTOR</t>
  </si>
  <si>
    <t>FACTOR L2</t>
  </si>
  <si>
    <t>LOAD EXCEEDS 400 AMPS</t>
  </si>
  <si>
    <t>TRANS 0 OR 1</t>
  </si>
  <si>
    <t>Single Phase Primary</t>
  </si>
  <si>
    <t>Three Phase Primary</t>
  </si>
  <si>
    <t>Voltage Drop % Primary</t>
  </si>
  <si>
    <t>NONE</t>
  </si>
  <si>
    <t>MAIN BKR</t>
  </si>
  <si>
    <t>NEUTRAL BUS</t>
  </si>
  <si>
    <t>GROUND BUS</t>
  </si>
  <si>
    <t>FEEDER</t>
  </si>
  <si>
    <t>DESIGN LOAD AMPS</t>
  </si>
  <si>
    <t>SUB PANEL</t>
  </si>
  <si>
    <t>208 VOLT LOAD AMPS</t>
  </si>
  <si>
    <t>SECONDARY VOLTS</t>
  </si>
  <si>
    <t>PRIMARY VOLTS</t>
  </si>
  <si>
    <t>PRIMARY AMPS</t>
  </si>
  <si>
    <t>SELECT  &gt; &gt;</t>
  </si>
  <si>
    <t>SPACE</t>
  </si>
  <si>
    <t xml:space="preserve">FUSE HI-LEG AT </t>
  </si>
  <si>
    <t>SOURCE POWER IS 1-PHASE</t>
  </si>
  <si>
    <t>THIS PANEL</t>
  </si>
  <si>
    <t>HAS SUB PANEL</t>
  </si>
  <si>
    <t>SOURCE PHASE</t>
  </si>
  <si>
    <t>SUB PANEL PHASE</t>
  </si>
  <si>
    <t xml:space="preserve">SOURCE VOTAGE IS </t>
  </si>
  <si>
    <t>XMFR POWER IS 1-PHASE</t>
  </si>
  <si>
    <t>SOURCE POWER IS 3D</t>
  </si>
  <si>
    <t>SOURCE POWER IS 3Y</t>
  </si>
  <si>
    <t>XMFR POWER IS 3-PHASE Y</t>
  </si>
  <si>
    <t>SOURCE FEED IS 1-PHASE</t>
  </si>
  <si>
    <t>RECEPTACLE LOAD DIVERSITY</t>
  </si>
  <si>
    <t>PERCENT</t>
  </si>
  <si>
    <t>1ST 10,00 VA</t>
  </si>
  <si>
    <t>REMAINDER AT 50%</t>
  </si>
  <si>
    <t>SUB PANEL ERROR</t>
  </si>
  <si>
    <t>CAD  - Copying calculations and pasting in to your CAD program.</t>
  </si>
  <si>
    <t>Step 1.</t>
  </si>
  <si>
    <t>Using the mouse highlight the area you wish to copy.</t>
  </si>
  <si>
    <t>Step 2.</t>
  </si>
  <si>
    <t>Hold the SHIFT KEY down and use the mouse to select EDIT menu.</t>
  </si>
  <si>
    <t>Step 3.</t>
  </si>
  <si>
    <t>Select the COPY PICTURE command from the EDIT menu.</t>
  </si>
  <si>
    <t xml:space="preserve"> - - - - - Copy Picture</t>
  </si>
  <si>
    <t>Step 4.</t>
  </si>
  <si>
    <t>Select the "As shown when printed" and click OK.</t>
  </si>
  <si>
    <t>Select</t>
  </si>
  <si>
    <t>As shown when printed  - - - -</t>
  </si>
  <si>
    <t>Then click OK</t>
  </si>
  <si>
    <t>Step 5.</t>
  </si>
  <si>
    <t>Go to you CAD program and paste the graphic.</t>
  </si>
  <si>
    <t>END</t>
  </si>
  <si>
    <t>FUSE</t>
  </si>
  <si>
    <t>WIRE 1</t>
  </si>
  <si>
    <t>WIRE 2</t>
  </si>
  <si>
    <t>WIRE 3</t>
  </si>
  <si>
    <t>WIRE 4</t>
  </si>
  <si>
    <t>AFC AT PANEL</t>
  </si>
  <si>
    <t xml:space="preserve"> K </t>
  </si>
  <si>
    <t>TRANS Y/N</t>
  </si>
  <si>
    <t>AFC TRANS</t>
  </si>
  <si>
    <t>TRANS</t>
  </si>
  <si>
    <t>PRIMARY VD</t>
  </si>
  <si>
    <t>VOTAGE DROP</t>
  </si>
  <si>
    <t>TRANS KVA</t>
  </si>
  <si>
    <t xml:space="preserve"> KVA</t>
  </si>
  <si>
    <t>TRANS GND WIRE</t>
  </si>
  <si>
    <t xml:space="preserve"> GND</t>
  </si>
  <si>
    <t>L1 L3</t>
  </si>
  <si>
    <t xml:space="preserve">% VD </t>
  </si>
  <si>
    <t>CONDUIT LENGTH</t>
  </si>
  <si>
    <t>'</t>
  </si>
  <si>
    <t>PANEL - XMFR</t>
  </si>
  <si>
    <t>XMFR-SUBPANEL</t>
  </si>
  <si>
    <t>MAX MOTOR LOAD</t>
  </si>
  <si>
    <t>PHASE SOURCE</t>
  </si>
  <si>
    <t>SUB PANEL BKR</t>
  </si>
  <si>
    <t>EXPORT</t>
  </si>
  <si>
    <t>KITCHEN LOAD</t>
  </si>
  <si>
    <t># OF KITCHEN LOADS</t>
  </si>
  <si>
    <t>TRANSFORMER (3-PHASE)</t>
  </si>
  <si>
    <t>NEUTRAL LOAD &gt;&gt;</t>
  </si>
  <si>
    <t>SUM</t>
  </si>
  <si>
    <t>33% OF PHASE</t>
  </si>
  <si>
    <t>WIRES</t>
  </si>
  <si>
    <t xml:space="preserve"> (L2)</t>
  </si>
  <si>
    <t xml:space="preserve"> (N)</t>
  </si>
  <si>
    <t>FAULT METHOD</t>
  </si>
  <si>
    <t>SHOW VD CALCS</t>
  </si>
  <si>
    <t>VD CALCS</t>
  </si>
  <si>
    <t>aaaa</t>
  </si>
  <si>
    <t>HI-LEG</t>
  </si>
  <si>
    <t>MSWBD</t>
  </si>
  <si>
    <t>HI VOLT</t>
  </si>
  <si>
    <t>L VOLT</t>
  </si>
  <si>
    <t>BACK TO</t>
  </si>
  <si>
    <t>H VLOT</t>
  </si>
  <si>
    <t xml:space="preserve">SOURCE VOLTAGE IS </t>
  </si>
  <si>
    <t>V</t>
  </si>
  <si>
    <t>ENTER LOW VOLTAGE</t>
  </si>
  <si>
    <t xml:space="preserve">SOURCE PHASE IS </t>
  </si>
  <si>
    <t xml:space="preserve"> TLC ) ÷ (</t>
  </si>
  <si>
    <t xml:space="preserve"> TLC x </t>
  </si>
  <si>
    <t>MATCH</t>
  </si>
  <si>
    <t>XMFR</t>
  </si>
  <si>
    <t xml:space="preserve">SOURCE </t>
  </si>
  <si>
    <t>SUBFEED</t>
  </si>
  <si>
    <t>FULL</t>
  </si>
  <si>
    <t>H8</t>
  </si>
  <si>
    <t>H10</t>
  </si>
  <si>
    <t>A-2P</t>
  </si>
  <si>
    <t>A-3P</t>
  </si>
  <si>
    <t>FEED PANEL PHASE</t>
  </si>
  <si>
    <t>MAIN PANEL</t>
  </si>
  <si>
    <t>MAIN PANEL PHASE</t>
  </si>
  <si>
    <t>FEEDER TYPE</t>
  </si>
  <si>
    <t>SOURCE</t>
  </si>
  <si>
    <t>ROW</t>
  </si>
  <si>
    <t>SELECT</t>
  </si>
  <si>
    <t>EXCEED</t>
  </si>
  <si>
    <t>6-6-6-6</t>
  </si>
  <si>
    <t>4-4-4-6</t>
  </si>
  <si>
    <t>2-2-2-4</t>
  </si>
  <si>
    <t>1-1-1-3</t>
  </si>
  <si>
    <t>1/0-1/0-1/0-2</t>
  </si>
  <si>
    <t>2/0-2/0-2/0-1</t>
  </si>
  <si>
    <t>4/0-4/0-4/0-2/0</t>
  </si>
  <si>
    <t>3/0-3/0-3/0-1/0</t>
  </si>
  <si>
    <t>SHORT</t>
  </si>
  <si>
    <t>C VALUE</t>
  </si>
  <si>
    <t>3-3-3-5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</si>
  <si>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</si>
  <si>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</si>
  <si>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</si>
  <si>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</si>
  <si>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</si>
  <si>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</si>
  <si>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</si>
  <si>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</si>
  <si>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</si>
  <si>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</si>
  <si>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SER CABLE</t>
  </si>
  <si>
    <t xml:space="preserve"> 3-</t>
  </si>
  <si>
    <t xml:space="preserve"> 1-</t>
  </si>
  <si>
    <t>#5</t>
  </si>
  <si>
    <t xml:space="preserve"> CU</t>
  </si>
  <si>
    <t>WIRE TEMP ºC</t>
  </si>
  <si>
    <t>WIRE TMEP</t>
  </si>
  <si>
    <t>4-4-4-4</t>
  </si>
  <si>
    <t>2-2-2-2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</si>
  <si>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</si>
  <si>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</si>
  <si>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</si>
  <si>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</si>
  <si>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</si>
  <si>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</si>
  <si>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</si>
  <si>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</si>
  <si>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</si>
  <si>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 xml:space="preserve"> 4-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</si>
  <si>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</si>
  <si>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</si>
  <si>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</si>
  <si>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</si>
  <si>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</si>
  <si>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</si>
  <si>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</si>
  <si>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</si>
  <si>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</si>
  <si>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</si>
  <si>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</si>
  <si>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</si>
  <si>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</si>
  <si>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</si>
  <si>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</si>
  <si>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</si>
  <si>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</si>
  <si>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</si>
  <si>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</si>
  <si>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</si>
  <si>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</si>
  <si>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</si>
  <si>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</si>
  <si>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</si>
  <si>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</si>
  <si>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</si>
  <si>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</si>
  <si>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</si>
  <si>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3-COND W/GND ROMEX CABLE CU</t>
  </si>
  <si>
    <t>ROMEX 3C CU</t>
  </si>
  <si>
    <t>MC 3C AL</t>
  </si>
  <si>
    <t>MC 4C AL</t>
  </si>
  <si>
    <t>MC 3C CU</t>
  </si>
  <si>
    <t>MC 4C CU</t>
  </si>
  <si>
    <t># OF CONDUCTORS</t>
  </si>
  <si>
    <t>CU OR AL</t>
  </si>
  <si>
    <t>3-COND W/GND SER CABLE AL</t>
  </si>
  <si>
    <t>3-COND W/GND SER CABLE CU</t>
  </si>
  <si>
    <t>4-COND W/GND SER CABLE AL</t>
  </si>
  <si>
    <t>SER 3C AL</t>
  </si>
  <si>
    <t>SER 3C CU</t>
  </si>
  <si>
    <t>SER 4C AL</t>
  </si>
  <si>
    <t>ERROR IN MAIN PANEL</t>
  </si>
  <si>
    <t xml:space="preserve"> ROMEX</t>
  </si>
  <si>
    <t xml:space="preserve"> AMPS EXCEEDS THE MAXIMUM</t>
  </si>
  <si>
    <t xml:space="preserve"> AMPS</t>
  </si>
  <si>
    <t xml:space="preserve"> THE DESIGN LOAD OF </t>
  </si>
  <si>
    <t xml:space="preserve"> CABLE RATING OF </t>
  </si>
  <si>
    <t>MAIN BKR Y/N</t>
  </si>
  <si>
    <t>ENTER MAIN BKR Y/N</t>
  </si>
  <si>
    <t>CABLE</t>
  </si>
  <si>
    <t>HP2</t>
  </si>
  <si>
    <t xml:space="preserve">K </t>
  </si>
  <si>
    <t>P</t>
  </si>
  <si>
    <t>A-</t>
  </si>
  <si>
    <t>SER-ROMEX</t>
  </si>
  <si>
    <t>FAULT</t>
  </si>
  <si>
    <t>SER</t>
  </si>
  <si>
    <t>NO</t>
  </si>
  <si>
    <t xml:space="preserve"> DEMO VERSION</t>
  </si>
  <si>
    <t>LIGHTS</t>
  </si>
  <si>
    <t>20A-1P</t>
  </si>
  <si>
    <t xml:space="preserve"> PINK CELLS ARE</t>
  </si>
  <si>
    <t>PROTECTED IN DEMO</t>
  </si>
  <si>
    <t>PINK CELLS ARE</t>
  </si>
  <si>
    <t>YES</t>
  </si>
  <si>
    <t>Residential 1-Line 2008 (Ver 8.0A) - Copyright Durand &amp; Associates</t>
  </si>
  <si>
    <t>Prepared With Residential 1-Line 2008 Software - Copyright Durand &amp; Associates</t>
  </si>
  <si>
    <t>BASED ON THE 2008 NEC</t>
  </si>
  <si>
    <t>CP1</t>
  </si>
  <si>
    <t>Mixed Occupancy 1-Line Software 2026 - Version 26.0A - Copyright Durand &amp; Associates</t>
  </si>
  <si>
    <t>BASED ON THE 2023 NEC</t>
  </si>
  <si>
    <t>Prepared With Residential 1-Line 2026 Software - Copyright Durand &amp; Associates</t>
  </si>
</sst>
</file>

<file path=xl/styles.xml><?xml version="1.0" encoding="utf-8"?>
<styleSheet xmlns="http://schemas.openxmlformats.org/spreadsheetml/2006/main">
  <numFmts count="34">
    <numFmt numFmtId="164" formatCode="0.0"/>
    <numFmt numFmtId="165" formatCode="#,##0\ \ \ \ &quot;W&quot;"/>
    <numFmt numFmtId="166" formatCode="0.0000"/>
    <numFmt numFmtId="167" formatCode="0.00000000000"/>
    <numFmt numFmtId="168" formatCode="0.000"/>
    <numFmt numFmtId="169" formatCode="0.000000"/>
    <numFmt numFmtId="170" formatCode="0&quot;'&quot;"/>
    <numFmt numFmtId="171" formatCode="&quot;R&quot;0"/>
    <numFmt numFmtId="172" formatCode="&quot;x &quot;General&quot; )&quot;"/>
    <numFmt numFmtId="173" formatCode="&quot;( &quot;General"/>
    <numFmt numFmtId="174" formatCode="&quot;( &quot;0&quot; KVA &quot;"/>
    <numFmt numFmtId="175" formatCode="&quot;x  &quot;0&quot; L&quot;"/>
    <numFmt numFmtId="176" formatCode="&quot;x  &quot;0&quot;  x&quot;"/>
    <numFmt numFmtId="177" formatCode="0&quot; V )&quot;"/>
    <numFmt numFmtId="178" formatCode="&quot;= &quot;0.000"/>
    <numFmt numFmtId="179" formatCode="&quot;(  &quot;0&quot;  +&quot;"/>
    <numFmt numFmtId="180" formatCode="0.000&quot; F  )&quot;"/>
    <numFmt numFmtId="181" formatCode="&quot;=  &quot;0.000&quot; M&quot;"/>
    <numFmt numFmtId="182" formatCode="&quot;(  &quot;#,##0"/>
    <numFmt numFmtId="183" formatCode="&quot;=  &quot;#,##0"/>
    <numFmt numFmtId="184" formatCode="&quot;x  &quot;0.000&quot;  )&quot;"/>
    <numFmt numFmtId="185" formatCode="0&quot;  ÷  &quot;"/>
    <numFmt numFmtId="186" formatCode="0&quot; Feet&quot;"/>
    <numFmt numFmtId="187" formatCode="&quot;x &quot;#,##0&quot;  )&quot;"/>
    <numFmt numFmtId="188" formatCode="&quot;÷ ( &quot;#,##0"/>
    <numFmt numFmtId="189" formatCode="0&quot; Conductors Per Ø&quot;"/>
    <numFmt numFmtId="190" formatCode="#,##0.0"/>
    <numFmt numFmtId="191" formatCode="#,##0.000"/>
    <numFmt numFmtId="192" formatCode="#,##0&quot;  W &quot;"/>
    <numFmt numFmtId="193" formatCode="#,##0&quot;'&quot;"/>
    <numFmt numFmtId="195" formatCode="&quot; +  &quot;0&quot; MC&quot;"/>
    <numFmt numFmtId="196" formatCode="0.0000000000"/>
    <numFmt numFmtId="198" formatCode="0&quot;º&quot;"/>
    <numFmt numFmtId="199" formatCode="0&quot;º C&quot;"/>
  </numFmts>
  <fonts count="14">
    <font>
      <sz val="9"/>
      <name val="Helv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10"/>
      <name val="Arial"/>
    </font>
    <font>
      <sz val="9"/>
      <name val="Helv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sz val="8"/>
      <color indexed="2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/>
      <right style="thin">
        <color indexed="39"/>
      </right>
      <top/>
      <bottom/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</cellStyleXfs>
  <cellXfs count="678">
    <xf numFmtId="0" fontId="0" fillId="0" borderId="0" xfId="0"/>
    <xf numFmtId="0" fontId="1" fillId="0" borderId="0" xfId="0" applyFont="1" applyProtection="1">
      <protection hidden="1"/>
    </xf>
    <xf numFmtId="0" fontId="1" fillId="0" borderId="1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3" fontId="1" fillId="0" borderId="2" xfId="0" applyNumberFormat="1" applyFont="1" applyBorder="1" applyProtection="1">
      <protection hidden="1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center"/>
      <protection hidden="1"/>
    </xf>
    <xf numFmtId="3" fontId="1" fillId="0" borderId="2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right"/>
      <protection hidden="1"/>
    </xf>
    <xf numFmtId="3" fontId="1" fillId="0" borderId="1" xfId="0" applyNumberFormat="1" applyFont="1" applyBorder="1" applyAlignment="1" applyProtection="1">
      <alignment horizontal="left"/>
      <protection hidden="1"/>
    </xf>
    <xf numFmtId="3" fontId="1" fillId="0" borderId="2" xfId="0" applyNumberFormat="1" applyFont="1" applyBorder="1" applyAlignment="1" applyProtection="1">
      <alignment horizontal="left"/>
      <protection hidden="1"/>
    </xf>
    <xf numFmtId="0" fontId="4" fillId="0" borderId="1" xfId="0" applyFont="1" applyBorder="1" applyProtection="1">
      <protection hidden="1"/>
    </xf>
    <xf numFmtId="0" fontId="4" fillId="0" borderId="3" xfId="0" applyFont="1" applyBorder="1" applyAlignment="1" applyProtection="1">
      <alignment horizontal="right"/>
      <protection hidden="1"/>
    </xf>
    <xf numFmtId="3" fontId="1" fillId="0" borderId="0" xfId="0" applyNumberFormat="1" applyFont="1" applyProtection="1">
      <protection hidden="1"/>
    </xf>
    <xf numFmtId="1" fontId="1" fillId="0" borderId="4" xfId="0" applyNumberFormat="1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left"/>
      <protection hidden="1"/>
    </xf>
    <xf numFmtId="3" fontId="1" fillId="0" borderId="4" xfId="0" applyNumberFormat="1" applyFont="1" applyBorder="1" applyAlignment="1" applyProtection="1">
      <alignment horizontal="center"/>
      <protection hidden="1"/>
    </xf>
    <xf numFmtId="3" fontId="1" fillId="0" borderId="3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center"/>
      <protection hidden="1"/>
    </xf>
    <xf numFmtId="1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3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2" fontId="1" fillId="0" borderId="0" xfId="0" applyNumberFormat="1" applyFont="1" applyBorder="1" applyAlignment="1" applyProtection="1">
      <alignment horizontal="left"/>
      <protection hidden="1"/>
    </xf>
    <xf numFmtId="2" fontId="1" fillId="0" borderId="0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Border="1" applyAlignment="1" applyProtection="1">
      <alignment horizontal="left"/>
      <protection hidden="1"/>
    </xf>
    <xf numFmtId="0" fontId="1" fillId="0" borderId="7" xfId="0" applyFont="1" applyBorder="1" applyProtection="1"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1" xfId="0" applyFont="1" applyBorder="1" applyProtection="1">
      <protection hidden="1"/>
    </xf>
    <xf numFmtId="0" fontId="1" fillId="0" borderId="13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167" fontId="1" fillId="0" borderId="0" xfId="0" applyNumberFormat="1" applyFont="1" applyAlignment="1" applyProtection="1">
      <alignment horizontal="left"/>
      <protection hidden="1"/>
    </xf>
    <xf numFmtId="9" fontId="1" fillId="0" borderId="22" xfId="0" applyNumberFormat="1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left"/>
      <protection hidden="1"/>
    </xf>
    <xf numFmtId="0" fontId="1" fillId="0" borderId="23" xfId="0" applyFont="1" applyBorder="1" applyAlignment="1" applyProtection="1">
      <alignment horizontal="center"/>
      <protection hidden="1"/>
    </xf>
    <xf numFmtId="166" fontId="1" fillId="0" borderId="23" xfId="0" applyNumberFormat="1" applyFont="1" applyBorder="1" applyAlignment="1" applyProtection="1">
      <alignment horizontal="center"/>
      <protection hidden="1"/>
    </xf>
    <xf numFmtId="168" fontId="1" fillId="0" borderId="23" xfId="0" applyNumberFormat="1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166" fontId="1" fillId="0" borderId="21" xfId="0" applyNumberFormat="1" applyFont="1" applyBorder="1" applyAlignment="1" applyProtection="1">
      <alignment horizontal="center"/>
      <protection hidden="1"/>
    </xf>
    <xf numFmtId="168" fontId="1" fillId="0" borderId="21" xfId="0" applyNumberFormat="1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left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left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13" xfId="0" applyFont="1" applyBorder="1" applyProtection="1"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1" fillId="0" borderId="34" xfId="0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166" fontId="1" fillId="0" borderId="22" xfId="0" applyNumberFormat="1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left"/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69" fontId="1" fillId="0" borderId="0" xfId="0" applyNumberFormat="1" applyFont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right"/>
      <protection hidden="1"/>
    </xf>
    <xf numFmtId="0" fontId="1" fillId="0" borderId="30" xfId="0" applyFont="1" applyBorder="1" applyAlignment="1" applyProtection="1">
      <alignment horizontal="right"/>
      <protection hidden="1"/>
    </xf>
    <xf numFmtId="0" fontId="1" fillId="0" borderId="28" xfId="0" applyFont="1" applyBorder="1" applyAlignment="1" applyProtection="1">
      <alignment horizontal="right"/>
      <protection hidden="1"/>
    </xf>
    <xf numFmtId="10" fontId="1" fillId="0" borderId="29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Protection="1">
      <protection hidden="1"/>
    </xf>
    <xf numFmtId="3" fontId="1" fillId="2" borderId="2" xfId="0" applyNumberFormat="1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right"/>
      <protection hidden="1"/>
    </xf>
    <xf numFmtId="3" fontId="1" fillId="2" borderId="2" xfId="0" applyNumberFormat="1" applyFont="1" applyFill="1" applyBorder="1" applyAlignment="1" applyProtection="1">
      <alignment horizontal="center"/>
      <protection hidden="1"/>
    </xf>
    <xf numFmtId="3" fontId="1" fillId="3" borderId="2" xfId="0" applyNumberFormat="1" applyFont="1" applyFill="1" applyBorder="1" applyAlignment="1" applyProtection="1">
      <alignment horizontal="center"/>
      <protection hidden="1"/>
    </xf>
    <xf numFmtId="3" fontId="1" fillId="2" borderId="1" xfId="0" applyNumberFormat="1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1" fontId="1" fillId="2" borderId="4" xfId="0" applyNumberFormat="1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3" fontId="1" fillId="2" borderId="4" xfId="0" applyNumberFormat="1" applyFont="1" applyFill="1" applyBorder="1" applyAlignment="1" applyProtection="1">
      <alignment horizontal="center"/>
      <protection hidden="1"/>
    </xf>
    <xf numFmtId="3" fontId="1" fillId="2" borderId="3" xfId="0" applyNumberFormat="1" applyFont="1" applyFill="1" applyBorder="1" applyAlignment="1" applyProtection="1">
      <alignment horizontal="center"/>
      <protection hidden="1"/>
    </xf>
    <xf numFmtId="1" fontId="1" fillId="2" borderId="0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4" fontId="1" fillId="2" borderId="0" xfId="0" applyNumberFormat="1" applyFont="1" applyFill="1" applyAlignment="1" applyProtection="1">
      <alignment horizontal="right"/>
      <protection hidden="1"/>
    </xf>
    <xf numFmtId="14" fontId="1" fillId="2" borderId="0" xfId="0" applyNumberFormat="1" applyFont="1" applyFill="1" applyProtection="1"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6" fillId="0" borderId="0" xfId="7"/>
    <xf numFmtId="0" fontId="8" fillId="0" borderId="0" xfId="7" applyFont="1"/>
    <xf numFmtId="0" fontId="9" fillId="0" borderId="0" xfId="7" applyFont="1"/>
    <xf numFmtId="0" fontId="1" fillId="2" borderId="0" xfId="6" applyFont="1" applyFill="1" applyBorder="1" applyAlignment="1" applyProtection="1">
      <alignment horizontal="left"/>
      <protection hidden="1"/>
    </xf>
    <xf numFmtId="3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170" fontId="2" fillId="4" borderId="2" xfId="0" applyNumberFormat="1" applyFont="1" applyFill="1" applyBorder="1" applyAlignment="1" applyProtection="1">
      <alignment horizontal="center"/>
      <protection locked="0"/>
    </xf>
    <xf numFmtId="3" fontId="2" fillId="4" borderId="4" xfId="0" applyNumberFormat="1" applyFont="1" applyFill="1" applyBorder="1" applyAlignment="1" applyProtection="1">
      <alignment horizontal="center"/>
      <protection locked="0"/>
    </xf>
    <xf numFmtId="49" fontId="2" fillId="4" borderId="2" xfId="0" applyNumberFormat="1" applyFont="1" applyFill="1" applyBorder="1" applyProtection="1">
      <protection locked="0"/>
    </xf>
    <xf numFmtId="3" fontId="1" fillId="0" borderId="2" xfId="0" applyNumberFormat="1" applyFont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3" fontId="1" fillId="3" borderId="0" xfId="0" applyNumberFormat="1" applyFont="1" applyFill="1" applyProtection="1">
      <protection hidden="1"/>
    </xf>
    <xf numFmtId="3" fontId="1" fillId="3" borderId="0" xfId="0" applyNumberFormat="1" applyFont="1" applyFill="1" applyAlignment="1" applyProtection="1">
      <alignment horizontal="left"/>
      <protection hidden="1"/>
    </xf>
    <xf numFmtId="3" fontId="1" fillId="3" borderId="0" xfId="0" applyNumberFormat="1" applyFont="1" applyFill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1" fillId="3" borderId="22" xfId="0" applyFont="1" applyFill="1" applyBorder="1" applyAlignment="1" applyProtection="1">
      <alignment horizontal="center"/>
      <protection hidden="1"/>
    </xf>
    <xf numFmtId="0" fontId="1" fillId="3" borderId="23" xfId="0" applyFont="1" applyFill="1" applyBorder="1" applyAlignment="1" applyProtection="1">
      <alignment horizontal="center"/>
      <protection hidden="1"/>
    </xf>
    <xf numFmtId="3" fontId="1" fillId="3" borderId="0" xfId="0" applyNumberFormat="1" applyFont="1" applyFill="1" applyBorder="1" applyAlignment="1" applyProtection="1">
      <alignment horizontal="center"/>
      <protection hidden="1"/>
    </xf>
    <xf numFmtId="0" fontId="1" fillId="3" borderId="36" xfId="0" applyFont="1" applyFill="1" applyBorder="1" applyAlignment="1" applyProtection="1">
      <alignment horizontal="center"/>
      <protection hidden="1"/>
    </xf>
    <xf numFmtId="3" fontId="1" fillId="3" borderId="0" xfId="0" applyNumberFormat="1" applyFont="1" applyFill="1" applyBorder="1" applyAlignment="1" applyProtection="1">
      <alignment horizontal="left"/>
      <protection hidden="1"/>
    </xf>
    <xf numFmtId="3" fontId="1" fillId="3" borderId="36" xfId="0" applyNumberFormat="1" applyFont="1" applyFill="1" applyBorder="1" applyAlignment="1" applyProtection="1">
      <alignment horizontal="center"/>
      <protection hidden="1"/>
    </xf>
    <xf numFmtId="0" fontId="1" fillId="3" borderId="36" xfId="0" applyFont="1" applyFill="1" applyBorder="1" applyProtection="1">
      <protection hidden="1"/>
    </xf>
    <xf numFmtId="0" fontId="1" fillId="3" borderId="0" xfId="0" applyFont="1" applyFill="1" applyAlignment="1" applyProtection="1">
      <alignment horizontal="fill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3" fontId="10" fillId="3" borderId="0" xfId="0" applyNumberFormat="1" applyFont="1" applyFill="1" applyAlignment="1" applyProtection="1">
      <alignment horizontal="right"/>
      <protection hidden="1"/>
    </xf>
    <xf numFmtId="0" fontId="10" fillId="3" borderId="0" xfId="0" applyFont="1" applyFill="1" applyAlignment="1" applyProtection="1">
      <alignment horizontal="right"/>
      <protection hidden="1"/>
    </xf>
    <xf numFmtId="3" fontId="1" fillId="3" borderId="0" xfId="0" applyNumberFormat="1" applyFont="1" applyFill="1" applyAlignment="1" applyProtection="1">
      <alignment horizontal="right"/>
      <protection hidden="1"/>
    </xf>
    <xf numFmtId="3" fontId="1" fillId="2" borderId="1" xfId="0" applyNumberFormat="1" applyFont="1" applyFill="1" applyBorder="1" applyProtection="1">
      <protection hidden="1"/>
    </xf>
    <xf numFmtId="3" fontId="1" fillId="2" borderId="3" xfId="0" applyNumberFormat="1" applyFont="1" applyFill="1" applyBorder="1" applyAlignment="1" applyProtection="1">
      <alignment horizontal="right"/>
      <protection hidden="1"/>
    </xf>
    <xf numFmtId="49" fontId="1" fillId="3" borderId="0" xfId="0" applyNumberFormat="1" applyFont="1" applyFill="1" applyProtection="1">
      <protection hidden="1"/>
    </xf>
    <xf numFmtId="0" fontId="1" fillId="0" borderId="0" xfId="2" applyFont="1"/>
    <xf numFmtId="0" fontId="1" fillId="3" borderId="0" xfId="0" applyFont="1" applyFill="1" applyBorder="1" applyProtection="1">
      <protection hidden="1"/>
    </xf>
    <xf numFmtId="0" fontId="10" fillId="3" borderId="0" xfId="0" applyFont="1" applyFill="1" applyProtection="1">
      <protection hidden="1"/>
    </xf>
    <xf numFmtId="3" fontId="1" fillId="0" borderId="0" xfId="2" applyNumberFormat="1" applyFont="1"/>
    <xf numFmtId="1" fontId="1" fillId="0" borderId="0" xfId="2" applyNumberFormat="1" applyFont="1"/>
    <xf numFmtId="2" fontId="1" fillId="0" borderId="0" xfId="2" applyNumberFormat="1" applyFont="1"/>
    <xf numFmtId="3" fontId="1" fillId="0" borderId="12" xfId="0" applyNumberFormat="1" applyFont="1" applyBorder="1" applyAlignment="1" applyProtection="1">
      <alignment horizontal="center"/>
      <protection hidden="1"/>
    </xf>
    <xf numFmtId="10" fontId="1" fillId="0" borderId="0" xfId="2" applyNumberFormat="1" applyFont="1"/>
    <xf numFmtId="0" fontId="3" fillId="0" borderId="0" xfId="1" applyFont="1" applyAlignment="1" applyProtection="1">
      <alignment horizontal="left"/>
      <protection hidden="1"/>
    </xf>
    <xf numFmtId="0" fontId="1" fillId="0" borderId="0" xfId="1" applyFont="1" applyAlignment="1" applyProtection="1">
      <alignment horizontal="center"/>
      <protection hidden="1"/>
    </xf>
    <xf numFmtId="0" fontId="1" fillId="0" borderId="0" xfId="1" applyFont="1" applyProtection="1">
      <protection hidden="1"/>
    </xf>
    <xf numFmtId="171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6" fontId="1" fillId="0" borderId="9" xfId="0" applyNumberFormat="1" applyFont="1" applyBorder="1"/>
    <xf numFmtId="0" fontId="1" fillId="0" borderId="10" xfId="0" applyFont="1" applyBorder="1"/>
    <xf numFmtId="171" fontId="1" fillId="0" borderId="5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Border="1" applyAlignment="1"/>
    <xf numFmtId="0" fontId="1" fillId="0" borderId="5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center"/>
      <protection hidden="1"/>
    </xf>
    <xf numFmtId="0" fontId="1" fillId="0" borderId="5" xfId="1" applyFont="1" applyBorder="1" applyAlignment="1" applyProtection="1">
      <alignment horizontal="center"/>
      <protection hidden="1"/>
    </xf>
    <xf numFmtId="0" fontId="1" fillId="0" borderId="0" xfId="1" applyFont="1" applyBorder="1" applyProtection="1">
      <protection hidden="1"/>
    </xf>
    <xf numFmtId="0" fontId="1" fillId="0" borderId="6" xfId="1" applyFont="1" applyBorder="1" applyProtection="1">
      <protection hidden="1"/>
    </xf>
    <xf numFmtId="166" fontId="1" fillId="0" borderId="6" xfId="1" applyNumberFormat="1" applyFont="1" applyBorder="1" applyProtection="1">
      <protection hidden="1"/>
    </xf>
    <xf numFmtId="0" fontId="1" fillId="0" borderId="37" xfId="1" applyFont="1" applyBorder="1" applyAlignment="1" applyProtection="1">
      <alignment horizontal="center"/>
      <protection hidden="1"/>
    </xf>
    <xf numFmtId="0" fontId="1" fillId="0" borderId="7" xfId="1" applyFont="1" applyBorder="1" applyAlignment="1" applyProtection="1">
      <alignment horizontal="center"/>
      <protection hidden="1"/>
    </xf>
    <xf numFmtId="0" fontId="1" fillId="0" borderId="7" xfId="1" applyFont="1" applyBorder="1" applyProtection="1">
      <protection hidden="1"/>
    </xf>
    <xf numFmtId="0" fontId="1" fillId="0" borderId="38" xfId="1" applyFont="1" applyBorder="1" applyProtection="1">
      <protection hidden="1"/>
    </xf>
    <xf numFmtId="0" fontId="1" fillId="0" borderId="1" xfId="1" applyFont="1" applyBorder="1" applyAlignment="1" applyProtection="1">
      <alignment horizontal="left"/>
      <protection hidden="1"/>
    </xf>
    <xf numFmtId="0" fontId="1" fillId="0" borderId="2" xfId="1" applyFont="1" applyBorder="1" applyAlignment="1" applyProtection="1">
      <alignment horizontal="center"/>
      <protection hidden="1"/>
    </xf>
    <xf numFmtId="0" fontId="1" fillId="0" borderId="2" xfId="1" applyFont="1" applyBorder="1" applyProtection="1">
      <protection hidden="1"/>
    </xf>
    <xf numFmtId="0" fontId="1" fillId="0" borderId="3" xfId="1" applyFont="1" applyBorder="1" applyProtection="1">
      <protection hidden="1"/>
    </xf>
    <xf numFmtId="3" fontId="1" fillId="0" borderId="14" xfId="0" applyNumberFormat="1" applyFont="1" applyBorder="1" applyAlignment="1" applyProtection="1">
      <alignment horizontal="center"/>
      <protection hidden="1"/>
    </xf>
    <xf numFmtId="3" fontId="1" fillId="0" borderId="16" xfId="0" applyNumberFormat="1" applyFont="1" applyBorder="1" applyAlignment="1" applyProtection="1">
      <alignment horizontal="center"/>
      <protection hidden="1"/>
    </xf>
    <xf numFmtId="0" fontId="1" fillId="0" borderId="39" xfId="0" applyFont="1" applyBorder="1" applyProtection="1">
      <protection hidden="1"/>
    </xf>
    <xf numFmtId="0" fontId="1" fillId="0" borderId="40" xfId="0" applyFont="1" applyBorder="1" applyAlignment="1" applyProtection="1">
      <alignment horizontal="center"/>
      <protection hidden="1"/>
    </xf>
    <xf numFmtId="170" fontId="1" fillId="0" borderId="14" xfId="0" applyNumberFormat="1" applyFont="1" applyBorder="1" applyAlignment="1" applyProtection="1">
      <alignment horizontal="center"/>
      <protection hidden="1"/>
    </xf>
    <xf numFmtId="169" fontId="1" fillId="0" borderId="0" xfId="2" applyNumberFormat="1" applyFont="1"/>
    <xf numFmtId="0" fontId="6" fillId="0" borderId="0" xfId="3"/>
    <xf numFmtId="0" fontId="1" fillId="0" borderId="0" xfId="0" applyFont="1" applyAlignment="1" applyProtection="1"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Border="1" applyAlignment="1" applyProtection="1">
      <protection hidden="1"/>
    </xf>
    <xf numFmtId="174" fontId="1" fillId="0" borderId="0" xfId="0" applyNumberFormat="1" applyFont="1" applyBorder="1" applyAlignment="1" applyProtection="1">
      <protection hidden="1"/>
    </xf>
    <xf numFmtId="191" fontId="1" fillId="0" borderId="0" xfId="0" applyNumberFormat="1" applyFont="1" applyBorder="1" applyAlignment="1" applyProtection="1">
      <alignment horizontal="center"/>
      <protection hidden="1"/>
    </xf>
    <xf numFmtId="172" fontId="1" fillId="0" borderId="0" xfId="0" applyNumberFormat="1" applyFont="1" applyBorder="1" applyAlignment="1" applyProtection="1">
      <alignment horizontal="center"/>
      <protection hidden="1"/>
    </xf>
    <xf numFmtId="3" fontId="1" fillId="2" borderId="2" xfId="0" applyNumberFormat="1" applyFont="1" applyFill="1" applyBorder="1" applyAlignment="1" applyProtection="1">
      <alignment horizontal="left"/>
    </xf>
    <xf numFmtId="168" fontId="1" fillId="0" borderId="0" xfId="0" applyNumberFormat="1" applyFont="1" applyBorder="1" applyAlignment="1" applyProtection="1">
      <alignment horizontal="center"/>
      <protection hidden="1"/>
    </xf>
    <xf numFmtId="173" fontId="1" fillId="0" borderId="0" xfId="0" applyNumberFormat="1" applyFont="1" applyBorder="1" applyAlignment="1" applyProtection="1">
      <alignment horizontal="center"/>
      <protection hidden="1"/>
    </xf>
    <xf numFmtId="175" fontId="1" fillId="0" borderId="0" xfId="0" applyNumberFormat="1" applyFont="1" applyBorder="1" applyAlignment="1" applyProtection="1">
      <alignment horizontal="center"/>
      <protection hidden="1"/>
    </xf>
    <xf numFmtId="188" fontId="1" fillId="0" borderId="0" xfId="0" applyNumberFormat="1" applyFont="1" applyBorder="1" applyAlignment="1" applyProtection="1">
      <alignment horizontal="center"/>
      <protection hidden="1"/>
    </xf>
    <xf numFmtId="176" fontId="1" fillId="0" borderId="0" xfId="0" applyNumberFormat="1" applyFont="1" applyBorder="1" applyAlignment="1" applyProtection="1">
      <alignment horizontal="center"/>
      <protection hidden="1"/>
    </xf>
    <xf numFmtId="177" fontId="1" fillId="0" borderId="0" xfId="0" applyNumberFormat="1" applyFont="1" applyAlignment="1" applyProtection="1">
      <alignment horizontal="center"/>
      <protection hidden="1"/>
    </xf>
    <xf numFmtId="168" fontId="1" fillId="0" borderId="0" xfId="0" applyNumberFormat="1" applyFont="1" applyAlignment="1" applyProtection="1">
      <alignment horizontal="center"/>
      <protection hidden="1"/>
    </xf>
    <xf numFmtId="187" fontId="1" fillId="0" borderId="0" xfId="0" applyNumberFormat="1" applyFont="1" applyBorder="1" applyAlignment="1" applyProtection="1">
      <alignment horizontal="center"/>
      <protection hidden="1"/>
    </xf>
    <xf numFmtId="178" fontId="1" fillId="0" borderId="0" xfId="0" applyNumberFormat="1" applyFont="1" applyProtection="1">
      <protection hidden="1"/>
    </xf>
    <xf numFmtId="179" fontId="1" fillId="0" borderId="0" xfId="0" applyNumberFormat="1" applyFont="1" applyAlignment="1" applyProtection="1">
      <alignment horizontal="center"/>
      <protection hidden="1"/>
    </xf>
    <xf numFmtId="180" fontId="1" fillId="0" borderId="0" xfId="0" applyNumberFormat="1" applyFont="1" applyAlignment="1" applyProtection="1">
      <alignment horizontal="center"/>
      <protection hidden="1"/>
    </xf>
    <xf numFmtId="181" fontId="1" fillId="0" borderId="0" xfId="0" applyNumberFormat="1" applyFont="1" applyProtection="1">
      <protection hidden="1"/>
    </xf>
    <xf numFmtId="185" fontId="1" fillId="0" borderId="0" xfId="0" applyNumberFormat="1" applyFont="1" applyAlignment="1" applyProtection="1">
      <alignment horizontal="right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182" fontId="1" fillId="0" borderId="0" xfId="0" applyNumberFormat="1" applyFont="1" applyAlignment="1" applyProtection="1">
      <alignment horizontal="center"/>
      <protection hidden="1"/>
    </xf>
    <xf numFmtId="184" fontId="1" fillId="0" borderId="0" xfId="0" applyNumberFormat="1" applyFont="1" applyAlignment="1" applyProtection="1">
      <alignment horizontal="center"/>
      <protection hidden="1"/>
    </xf>
    <xf numFmtId="183" fontId="1" fillId="0" borderId="0" xfId="0" applyNumberFormat="1" applyFont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left"/>
      <protection hidden="1"/>
    </xf>
    <xf numFmtId="189" fontId="1" fillId="0" borderId="0" xfId="0" applyNumberFormat="1" applyFont="1" applyAlignment="1" applyProtection="1">
      <alignment horizontal="left"/>
      <protection hidden="1"/>
    </xf>
    <xf numFmtId="186" fontId="1" fillId="0" borderId="0" xfId="0" applyNumberFormat="1" applyFont="1" applyAlignment="1" applyProtection="1">
      <alignment horizontal="left"/>
      <protection hidden="1"/>
    </xf>
    <xf numFmtId="0" fontId="1" fillId="0" borderId="0" xfId="3" applyFont="1"/>
    <xf numFmtId="0" fontId="6" fillId="0" borderId="0" xfId="3" applyFont="1"/>
    <xf numFmtId="1" fontId="1" fillId="0" borderId="0" xfId="3" applyNumberFormat="1" applyFont="1"/>
    <xf numFmtId="0" fontId="1" fillId="0" borderId="0" xfId="3" quotePrefix="1" applyFont="1"/>
    <xf numFmtId="3" fontId="1" fillId="0" borderId="0" xfId="3" applyNumberFormat="1" applyFont="1"/>
    <xf numFmtId="0" fontId="1" fillId="0" borderId="5" xfId="3" applyFont="1" applyBorder="1"/>
    <xf numFmtId="12" fontId="1" fillId="0" borderId="0" xfId="3" applyNumberFormat="1" applyFont="1"/>
    <xf numFmtId="3" fontId="1" fillId="3" borderId="36" xfId="0" applyNumberFormat="1" applyFont="1" applyFill="1" applyBorder="1" applyProtection="1"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3" xfId="0" applyFont="1" applyFill="1" applyBorder="1" applyAlignment="1" applyProtection="1">
      <alignment horizontal="center"/>
      <protection hidden="1"/>
    </xf>
    <xf numFmtId="3" fontId="1" fillId="2" borderId="2" xfId="0" applyNumberFormat="1" applyFont="1" applyFill="1" applyBorder="1" applyAlignment="1" applyProtection="1">
      <alignment horizontal="right"/>
      <protection hidden="1"/>
    </xf>
    <xf numFmtId="0" fontId="11" fillId="2" borderId="2" xfId="0" applyNumberFormat="1" applyFont="1" applyFill="1" applyBorder="1" applyAlignment="1" applyProtection="1">
      <alignment horizontal="center"/>
      <protection hidden="1"/>
    </xf>
    <xf numFmtId="0" fontId="1" fillId="0" borderId="0" xfId="2" applyNumberFormat="1" applyFont="1"/>
    <xf numFmtId="0" fontId="3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3" fontId="1" fillId="0" borderId="0" xfId="0" applyNumberFormat="1" applyFont="1" applyBorder="1" applyProtection="1">
      <protection hidden="1"/>
    </xf>
    <xf numFmtId="3" fontId="1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92" fontId="1" fillId="0" borderId="0" xfId="0" applyNumberFormat="1" applyFont="1" applyBorder="1" applyAlignment="1" applyProtection="1">
      <alignment horizontal="right"/>
      <protection hidden="1"/>
    </xf>
    <xf numFmtId="165" fontId="1" fillId="0" borderId="0" xfId="0" applyNumberFormat="1" applyFont="1" applyBorder="1" applyProtection="1">
      <protection hidden="1"/>
    </xf>
    <xf numFmtId="165" fontId="1" fillId="0" borderId="0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Fill="1" applyBorder="1" applyAlignment="1" applyProtection="1">
      <alignment horizontal="left"/>
      <protection hidden="1"/>
    </xf>
    <xf numFmtId="164" fontId="1" fillId="0" borderId="0" xfId="0" applyNumberFormat="1" applyFont="1" applyBorder="1" applyProtection="1">
      <protection hidden="1"/>
    </xf>
    <xf numFmtId="3" fontId="1" fillId="0" borderId="9" xfId="0" applyNumberFormat="1" applyFont="1" applyBorder="1" applyAlignment="1" applyProtection="1">
      <alignment horizontal="right"/>
      <protection hidden="1"/>
    </xf>
    <xf numFmtId="165" fontId="1" fillId="0" borderId="9" xfId="0" applyNumberFormat="1" applyFont="1" applyBorder="1" applyProtection="1">
      <protection hidden="1"/>
    </xf>
    <xf numFmtId="164" fontId="1" fillId="0" borderId="0" xfId="0" applyNumberFormat="1" applyFont="1" applyBorder="1" applyAlignment="1" applyProtection="1">
      <alignment horizontal="right"/>
      <protection hidden="1"/>
    </xf>
    <xf numFmtId="0" fontId="1" fillId="2" borderId="7" xfId="0" applyFont="1" applyFill="1" applyBorder="1" applyProtection="1">
      <protection hidden="1"/>
    </xf>
    <xf numFmtId="0" fontId="0" fillId="2" borderId="2" xfId="0" applyFill="1" applyBorder="1"/>
    <xf numFmtId="0" fontId="1" fillId="2" borderId="4" xfId="0" applyFont="1" applyFill="1" applyBorder="1" applyAlignment="1" applyProtection="1">
      <alignment horizontal="left"/>
      <protection hidden="1"/>
    </xf>
    <xf numFmtId="49" fontId="2" fillId="4" borderId="4" xfId="0" applyNumberFormat="1" applyFont="1" applyFill="1" applyBorder="1" applyAlignment="1" applyProtection="1">
      <alignment horizontal="left"/>
      <protection locked="0"/>
    </xf>
    <xf numFmtId="49" fontId="2" fillId="4" borderId="3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  <xf numFmtId="49" fontId="2" fillId="4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hidden="1"/>
    </xf>
    <xf numFmtId="49" fontId="2" fillId="4" borderId="21" xfId="0" applyNumberFormat="1" applyFont="1" applyFill="1" applyBorder="1" applyAlignment="1" applyProtection="1">
      <alignment horizontal="left"/>
      <protection locked="0"/>
    </xf>
    <xf numFmtId="3" fontId="1" fillId="3" borderId="36" xfId="0" applyNumberFormat="1" applyFont="1" applyFill="1" applyBorder="1" applyAlignment="1" applyProtection="1">
      <alignment horizontal="left"/>
      <protection hidden="1"/>
    </xf>
    <xf numFmtId="3" fontId="1" fillId="3" borderId="36" xfId="0" applyNumberFormat="1" applyFont="1" applyFill="1" applyBorder="1" applyAlignment="1" applyProtection="1">
      <alignment horizontal="right"/>
      <protection hidden="1"/>
    </xf>
    <xf numFmtId="0" fontId="1" fillId="3" borderId="36" xfId="0" applyFont="1" applyFill="1" applyBorder="1" applyAlignment="1" applyProtection="1">
      <alignment horizontal="right"/>
      <protection hidden="1"/>
    </xf>
    <xf numFmtId="191" fontId="1" fillId="0" borderId="0" xfId="0" applyNumberFormat="1" applyFont="1" applyBorder="1" applyProtection="1">
      <protection hidden="1"/>
    </xf>
    <xf numFmtId="164" fontId="1" fillId="0" borderId="9" xfId="0" applyNumberFormat="1" applyFont="1" applyBorder="1" applyAlignment="1" applyProtection="1">
      <alignment horizontal="right"/>
      <protection hidden="1"/>
    </xf>
    <xf numFmtId="164" fontId="1" fillId="0" borderId="9" xfId="0" applyNumberFormat="1" applyFont="1" applyBorder="1" applyProtection="1">
      <protection hidden="1"/>
    </xf>
    <xf numFmtId="0" fontId="1" fillId="0" borderId="41" xfId="0" applyFont="1" applyBorder="1" applyProtection="1">
      <protection hidden="1"/>
    </xf>
    <xf numFmtId="0" fontId="1" fillId="0" borderId="40" xfId="0" applyFont="1" applyBorder="1" applyProtection="1">
      <protection hidden="1"/>
    </xf>
    <xf numFmtId="190" fontId="1" fillId="0" borderId="0" xfId="0" applyNumberFormat="1" applyFont="1" applyBorder="1" applyAlignment="1" applyProtection="1">
      <alignment horizontal="left"/>
      <protection hidden="1"/>
    </xf>
    <xf numFmtId="190" fontId="1" fillId="0" borderId="0" xfId="0" applyNumberFormat="1" applyFont="1" applyBorder="1" applyAlignment="1" applyProtection="1">
      <alignment horizontal="right"/>
      <protection hidden="1"/>
    </xf>
    <xf numFmtId="190" fontId="1" fillId="0" borderId="0" xfId="0" applyNumberFormat="1" applyFont="1" applyBorder="1" applyProtection="1">
      <protection hidden="1"/>
    </xf>
    <xf numFmtId="190" fontId="1" fillId="0" borderId="0" xfId="0" applyNumberFormat="1" applyFont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right"/>
      <protection hidden="1"/>
    </xf>
    <xf numFmtId="0" fontId="0" fillId="2" borderId="7" xfId="0" applyFill="1" applyBorder="1"/>
    <xf numFmtId="3" fontId="1" fillId="2" borderId="9" xfId="0" applyNumberFormat="1" applyFont="1" applyFill="1" applyBorder="1" applyAlignment="1" applyProtection="1">
      <alignment horizontal="center"/>
      <protection hidden="1"/>
    </xf>
    <xf numFmtId="0" fontId="1" fillId="0" borderId="22" xfId="0" applyFont="1" applyBorder="1" applyProtection="1">
      <protection hidden="1"/>
    </xf>
    <xf numFmtId="164" fontId="1" fillId="0" borderId="22" xfId="0" applyNumberFormat="1" applyFont="1" applyBorder="1" applyAlignment="1" applyProtection="1">
      <alignment horizontal="center"/>
      <protection hidden="1"/>
    </xf>
    <xf numFmtId="0" fontId="1" fillId="0" borderId="23" xfId="0" applyFont="1" applyBorder="1" applyProtection="1">
      <protection hidden="1"/>
    </xf>
    <xf numFmtId="164" fontId="1" fillId="0" borderId="23" xfId="0" applyNumberFormat="1" applyFont="1" applyBorder="1" applyAlignment="1" applyProtection="1">
      <alignment horizontal="center"/>
      <protection hidden="1"/>
    </xf>
    <xf numFmtId="0" fontId="1" fillId="0" borderId="21" xfId="0" applyFont="1" applyBorder="1" applyProtection="1">
      <protection hidden="1"/>
    </xf>
    <xf numFmtId="3" fontId="1" fillId="3" borderId="4" xfId="0" applyNumberFormat="1" applyFont="1" applyFill="1" applyBorder="1" applyAlignment="1" applyProtection="1">
      <alignment horizontal="center"/>
      <protection hidden="1"/>
    </xf>
    <xf numFmtId="3" fontId="1" fillId="2" borderId="2" xfId="0" applyNumberFormat="1" applyFont="1" applyFill="1" applyBorder="1" applyAlignment="1" applyProtection="1">
      <alignment horizontal="left"/>
      <protection hidden="1"/>
    </xf>
    <xf numFmtId="49" fontId="1" fillId="0" borderId="0" xfId="2" applyNumberFormat="1" applyFont="1"/>
    <xf numFmtId="0" fontId="1" fillId="0" borderId="0" xfId="2" quotePrefix="1" applyFont="1"/>
    <xf numFmtId="3" fontId="1" fillId="0" borderId="9" xfId="0" applyNumberFormat="1" applyFont="1" applyBorder="1" applyProtection="1">
      <protection hidden="1"/>
    </xf>
    <xf numFmtId="3" fontId="1" fillId="0" borderId="9" xfId="0" applyNumberFormat="1" applyFont="1" applyFill="1" applyBorder="1" applyAlignment="1" applyProtection="1">
      <alignment horizontal="left"/>
      <protection hidden="1"/>
    </xf>
    <xf numFmtId="165" fontId="1" fillId="3" borderId="2" xfId="0" applyNumberFormat="1" applyFont="1" applyFill="1" applyBorder="1" applyAlignment="1" applyProtection="1">
      <alignment horizontal="center"/>
      <protection hidden="1"/>
    </xf>
    <xf numFmtId="1" fontId="1" fillId="3" borderId="2" xfId="0" applyNumberFormat="1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0" borderId="0" xfId="0" applyNumberFormat="1" applyFont="1" applyAlignment="1" applyProtection="1">
      <alignment horizontal="center"/>
      <protection hidden="1"/>
    </xf>
    <xf numFmtId="190" fontId="1" fillId="0" borderId="14" xfId="0" applyNumberFormat="1" applyFont="1" applyBorder="1" applyAlignment="1" applyProtection="1">
      <alignment horizontal="center"/>
      <protection hidden="1"/>
    </xf>
    <xf numFmtId="19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4" fontId="1" fillId="0" borderId="27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Protection="1">
      <protection hidden="1"/>
    </xf>
    <xf numFmtId="0" fontId="1" fillId="0" borderId="0" xfId="0" applyNumberFormat="1" applyFont="1" applyProtection="1">
      <protection hidden="1"/>
    </xf>
    <xf numFmtId="190" fontId="1" fillId="0" borderId="9" xfId="0" applyNumberFormat="1" applyFont="1" applyBorder="1" applyAlignment="1" applyProtection="1">
      <alignment horizontal="right"/>
      <protection hidden="1"/>
    </xf>
    <xf numFmtId="190" fontId="1" fillId="0" borderId="9" xfId="0" applyNumberFormat="1" applyFont="1" applyBorder="1" applyProtection="1">
      <protection hidden="1"/>
    </xf>
    <xf numFmtId="190" fontId="1" fillId="0" borderId="0" xfId="0" quotePrefix="1" applyNumberFormat="1" applyFont="1" applyProtection="1">
      <protection hidden="1"/>
    </xf>
    <xf numFmtId="164" fontId="1" fillId="0" borderId="0" xfId="2" applyNumberFormat="1" applyFont="1"/>
    <xf numFmtId="3" fontId="1" fillId="0" borderId="31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2" fontId="1" fillId="0" borderId="0" xfId="0" applyNumberFormat="1" applyFont="1" applyProtection="1">
      <protection hidden="1"/>
    </xf>
    <xf numFmtId="10" fontId="1" fillId="0" borderId="0" xfId="0" applyNumberFormat="1" applyFont="1" applyAlignment="1" applyProtection="1">
      <alignment horizontal="center"/>
      <protection hidden="1"/>
    </xf>
    <xf numFmtId="0" fontId="1" fillId="0" borderId="42" xfId="0" applyFont="1" applyBorder="1" applyProtection="1">
      <protection hidden="1"/>
    </xf>
    <xf numFmtId="0" fontId="1" fillId="0" borderId="43" xfId="0" applyFont="1" applyBorder="1" applyProtection="1">
      <protection hidden="1"/>
    </xf>
    <xf numFmtId="0" fontId="1" fillId="0" borderId="44" xfId="0" applyFont="1" applyBorder="1" applyProtection="1">
      <protection hidden="1"/>
    </xf>
    <xf numFmtId="0" fontId="1" fillId="0" borderId="45" xfId="0" applyFont="1" applyBorder="1" applyProtection="1">
      <protection hidden="1"/>
    </xf>
    <xf numFmtId="3" fontId="1" fillId="0" borderId="46" xfId="0" applyNumberFormat="1" applyFont="1" applyBorder="1" applyProtection="1">
      <protection hidden="1"/>
    </xf>
    <xf numFmtId="0" fontId="1" fillId="0" borderId="46" xfId="0" applyFont="1" applyBorder="1" applyProtection="1">
      <protection hidden="1"/>
    </xf>
    <xf numFmtId="0" fontId="1" fillId="0" borderId="47" xfId="0" applyFont="1" applyBorder="1" applyProtection="1">
      <protection hidden="1"/>
    </xf>
    <xf numFmtId="3" fontId="1" fillId="0" borderId="48" xfId="0" applyNumberFormat="1" applyFont="1" applyBorder="1" applyProtection="1">
      <protection hidden="1"/>
    </xf>
    <xf numFmtId="3" fontId="1" fillId="0" borderId="49" xfId="0" applyNumberFormat="1" applyFont="1" applyBorder="1" applyProtection="1">
      <protection hidden="1"/>
    </xf>
    <xf numFmtId="0" fontId="3" fillId="0" borderId="0" xfId="2" applyFont="1"/>
    <xf numFmtId="168" fontId="1" fillId="0" borderId="0" xfId="0" applyNumberFormat="1" applyFont="1" applyBorder="1" applyProtection="1">
      <protection hidden="1"/>
    </xf>
    <xf numFmtId="0" fontId="1" fillId="0" borderId="0" xfId="2" applyFont="1" applyAlignment="1">
      <alignment horizontal="right"/>
    </xf>
    <xf numFmtId="4" fontId="1" fillId="0" borderId="0" xfId="2" applyNumberFormat="1" applyFont="1"/>
    <xf numFmtId="0" fontId="1" fillId="0" borderId="9" xfId="0" applyFont="1" applyBorder="1" applyAlignment="1" applyProtection="1">
      <alignment horizontal="center"/>
      <protection hidden="1"/>
    </xf>
    <xf numFmtId="0" fontId="1" fillId="3" borderId="0" xfId="0" applyNumberFormat="1" applyFont="1" applyFill="1" applyAlignment="1" applyProtection="1">
      <alignment horizontal="center"/>
      <protection hidden="1"/>
    </xf>
    <xf numFmtId="0" fontId="1" fillId="0" borderId="6" xfId="0" applyFont="1" applyBorder="1" applyProtection="1">
      <protection hidden="1"/>
    </xf>
    <xf numFmtId="49" fontId="2" fillId="6" borderId="2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hidden="1"/>
    </xf>
    <xf numFmtId="0" fontId="1" fillId="2" borderId="3" xfId="0" applyNumberFormat="1" applyFont="1" applyFill="1" applyBorder="1" applyProtection="1">
      <protection hidden="1"/>
    </xf>
    <xf numFmtId="0" fontId="2" fillId="2" borderId="3" xfId="0" applyNumberFormat="1" applyFont="1" applyFill="1" applyBorder="1" applyAlignment="1" applyProtection="1">
      <alignment horizontal="center"/>
      <protection hidden="1"/>
    </xf>
    <xf numFmtId="3" fontId="1" fillId="2" borderId="3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3" fontId="3" fillId="2" borderId="3" xfId="0" applyNumberFormat="1" applyFont="1" applyFill="1" applyBorder="1" applyAlignment="1" applyProtection="1">
      <alignment horizontal="center"/>
      <protection hidden="1"/>
    </xf>
    <xf numFmtId="190" fontId="1" fillId="0" borderId="0" xfId="0" quotePrefix="1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3" borderId="24" xfId="0" applyFont="1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 applyProtection="1">
      <alignment horizontal="center"/>
      <protection hidden="1"/>
    </xf>
    <xf numFmtId="0" fontId="1" fillId="3" borderId="21" xfId="0" applyFont="1" applyFill="1" applyBorder="1" applyAlignment="1" applyProtection="1">
      <alignment horizontal="center"/>
      <protection hidden="1"/>
    </xf>
    <xf numFmtId="0" fontId="1" fillId="7" borderId="0" xfId="0" applyFont="1" applyFill="1" applyProtection="1">
      <protection hidden="1"/>
    </xf>
    <xf numFmtId="3" fontId="1" fillId="7" borderId="0" xfId="0" applyNumberFormat="1" applyFont="1" applyFill="1" applyProtection="1">
      <protection hidden="1"/>
    </xf>
    <xf numFmtId="0" fontId="3" fillId="7" borderId="0" xfId="0" applyFont="1" applyFill="1" applyProtection="1">
      <protection hidden="1"/>
    </xf>
    <xf numFmtId="0" fontId="1" fillId="7" borderId="0" xfId="0" applyFont="1" applyFill="1" applyAlignment="1" applyProtection="1">
      <alignment horizontal="right"/>
      <protection hidden="1"/>
    </xf>
    <xf numFmtId="0" fontId="1" fillId="7" borderId="8" xfId="0" applyFont="1" applyFill="1" applyBorder="1" applyProtection="1">
      <protection hidden="1"/>
    </xf>
    <xf numFmtId="164" fontId="1" fillId="7" borderId="9" xfId="0" applyNumberFormat="1" applyFont="1" applyFill="1" applyBorder="1" applyProtection="1">
      <protection hidden="1"/>
    </xf>
    <xf numFmtId="164" fontId="1" fillId="7" borderId="10" xfId="0" applyNumberFormat="1" applyFont="1" applyFill="1" applyBorder="1" applyProtection="1">
      <protection hidden="1"/>
    </xf>
    <xf numFmtId="49" fontId="1" fillId="7" borderId="0" xfId="0" applyNumberFormat="1" applyFont="1" applyFill="1" applyProtection="1">
      <protection hidden="1"/>
    </xf>
    <xf numFmtId="0" fontId="1" fillId="7" borderId="5" xfId="0" applyFont="1" applyFill="1" applyBorder="1" applyProtection="1">
      <protection hidden="1"/>
    </xf>
    <xf numFmtId="164" fontId="1" fillId="7" borderId="0" xfId="0" applyNumberFormat="1" applyFont="1" applyFill="1" applyBorder="1" applyProtection="1">
      <protection hidden="1"/>
    </xf>
    <xf numFmtId="164" fontId="1" fillId="7" borderId="6" xfId="0" applyNumberFormat="1" applyFont="1" applyFill="1" applyBorder="1" applyProtection="1">
      <protection hidden="1"/>
    </xf>
    <xf numFmtId="164" fontId="1" fillId="7" borderId="0" xfId="0" applyNumberFormat="1" applyFont="1" applyFill="1" applyProtection="1">
      <protection hidden="1"/>
    </xf>
    <xf numFmtId="3" fontId="1" fillId="7" borderId="0" xfId="0" applyNumberFormat="1" applyFont="1" applyFill="1" applyAlignment="1" applyProtection="1">
      <alignment horizontal="right"/>
      <protection hidden="1"/>
    </xf>
    <xf numFmtId="0" fontId="1" fillId="7" borderId="1" xfId="0" applyFont="1" applyFill="1" applyBorder="1" applyProtection="1">
      <protection hidden="1"/>
    </xf>
    <xf numFmtId="164" fontId="1" fillId="7" borderId="2" xfId="0" applyNumberFormat="1" applyFont="1" applyFill="1" applyBorder="1" applyProtection="1">
      <protection hidden="1"/>
    </xf>
    <xf numFmtId="164" fontId="1" fillId="7" borderId="3" xfId="0" applyNumberFormat="1" applyFont="1" applyFill="1" applyBorder="1" applyProtection="1">
      <protection hidden="1"/>
    </xf>
    <xf numFmtId="0" fontId="1" fillId="7" borderId="4" xfId="0" applyFont="1" applyFill="1" applyBorder="1" applyProtection="1">
      <protection hidden="1"/>
    </xf>
    <xf numFmtId="0" fontId="1" fillId="7" borderId="4" xfId="0" applyFont="1" applyFill="1" applyBorder="1" applyAlignment="1" applyProtection="1">
      <alignment horizontal="right"/>
      <protection hidden="1"/>
    </xf>
    <xf numFmtId="0" fontId="1" fillId="7" borderId="22" xfId="0" applyFont="1" applyFill="1" applyBorder="1" applyProtection="1">
      <protection hidden="1"/>
    </xf>
    <xf numFmtId="0" fontId="1" fillId="7" borderId="23" xfId="0" applyFont="1" applyFill="1" applyBorder="1" applyProtection="1">
      <protection hidden="1"/>
    </xf>
    <xf numFmtId="0" fontId="1" fillId="7" borderId="5" xfId="0" applyNumberFormat="1" applyFont="1" applyFill="1" applyBorder="1" applyProtection="1">
      <protection hidden="1"/>
    </xf>
    <xf numFmtId="0" fontId="1" fillId="7" borderId="21" xfId="0" applyFont="1" applyFill="1" applyBorder="1" applyProtection="1">
      <protection hidden="1"/>
    </xf>
    <xf numFmtId="0" fontId="1" fillId="7" borderId="37" xfId="0" applyNumberFormat="1" applyFont="1" applyFill="1" applyBorder="1" applyProtection="1">
      <protection hidden="1"/>
    </xf>
    <xf numFmtId="0" fontId="1" fillId="7" borderId="0" xfId="0" applyFont="1" applyFill="1" applyAlignment="1" applyProtection="1">
      <alignment horizontal="center"/>
      <protection hidden="1"/>
    </xf>
    <xf numFmtId="0" fontId="1" fillId="7" borderId="0" xfId="0" applyFont="1" applyFill="1" applyAlignment="1" applyProtection="1">
      <alignment horizontal="left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1" fillId="0" borderId="11" xfId="0" applyFont="1" applyFill="1" applyBorder="1" applyAlignment="1" applyProtection="1">
      <alignment horizontal="left"/>
      <protection hidden="1"/>
    </xf>
    <xf numFmtId="0" fontId="1" fillId="0" borderId="13" xfId="0" applyFont="1" applyFill="1" applyBorder="1" applyProtection="1">
      <protection hidden="1"/>
    </xf>
    <xf numFmtId="0" fontId="1" fillId="0" borderId="13" xfId="0" applyFont="1" applyFill="1" applyBorder="1" applyAlignment="1" applyProtection="1">
      <alignment horizontal="left"/>
      <protection hidden="1"/>
    </xf>
    <xf numFmtId="0" fontId="1" fillId="0" borderId="15" xfId="0" applyFont="1" applyFill="1" applyBorder="1" applyAlignment="1" applyProtection="1">
      <alignment horizontal="left"/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1" fillId="0" borderId="22" xfId="0" applyFont="1" applyFill="1" applyBorder="1" applyAlignment="1" applyProtection="1">
      <alignment horizontal="center"/>
      <protection hidden="1"/>
    </xf>
    <xf numFmtId="0" fontId="1" fillId="0" borderId="23" xfId="0" applyFont="1" applyFill="1" applyBorder="1" applyAlignment="1" applyProtection="1">
      <alignment horizontal="center"/>
      <protection hidden="1"/>
    </xf>
    <xf numFmtId="0" fontId="1" fillId="0" borderId="21" xfId="0" applyFont="1" applyFill="1" applyBorder="1" applyAlignment="1" applyProtection="1">
      <alignment horizontal="center"/>
      <protection hidden="1"/>
    </xf>
    <xf numFmtId="0" fontId="1" fillId="0" borderId="26" xfId="0" applyFont="1" applyFill="1" applyBorder="1" applyAlignment="1" applyProtection="1">
      <alignment horizontal="left"/>
      <protection hidden="1"/>
    </xf>
    <xf numFmtId="0" fontId="1" fillId="0" borderId="30" xfId="0" applyFont="1" applyFill="1" applyBorder="1" applyAlignment="1" applyProtection="1">
      <alignment horizontal="left"/>
      <protection hidden="1"/>
    </xf>
    <xf numFmtId="0" fontId="1" fillId="0" borderId="30" xfId="0" applyFont="1" applyFill="1" applyBorder="1" applyAlignment="1" applyProtection="1">
      <alignment horizontal="center"/>
      <protection hidden="1"/>
    </xf>
    <xf numFmtId="0" fontId="1" fillId="0" borderId="28" xfId="0" applyFont="1" applyFill="1" applyBorder="1" applyAlignment="1" applyProtection="1">
      <alignment horizontal="left"/>
      <protection hidden="1"/>
    </xf>
    <xf numFmtId="0" fontId="1" fillId="7" borderId="2" xfId="0" applyFont="1" applyFill="1" applyBorder="1" applyAlignment="1" applyProtection="1">
      <alignment horizontal="left"/>
      <protection hidden="1"/>
    </xf>
    <xf numFmtId="0" fontId="1" fillId="7" borderId="2" xfId="0" applyFont="1" applyFill="1" applyBorder="1" applyAlignment="1" applyProtection="1">
      <alignment horizontal="right"/>
      <protection hidden="1"/>
    </xf>
    <xf numFmtId="0" fontId="1" fillId="7" borderId="3" xfId="0" applyFont="1" applyFill="1" applyBorder="1" applyAlignment="1" applyProtection="1">
      <alignment horizontal="right"/>
      <protection hidden="1"/>
    </xf>
    <xf numFmtId="3" fontId="1" fillId="7" borderId="2" xfId="0" applyNumberFormat="1" applyFont="1" applyFill="1" applyBorder="1" applyAlignment="1" applyProtection="1">
      <alignment horizontal="left"/>
      <protection hidden="1"/>
    </xf>
    <xf numFmtId="3" fontId="1" fillId="7" borderId="2" xfId="0" applyNumberFormat="1" applyFont="1" applyFill="1" applyBorder="1" applyAlignment="1" applyProtection="1">
      <alignment horizontal="right"/>
      <protection hidden="1"/>
    </xf>
    <xf numFmtId="0" fontId="1" fillId="0" borderId="0" xfId="3" applyFont="1" applyBorder="1"/>
    <xf numFmtId="0" fontId="6" fillId="0" borderId="0" xfId="3" applyBorder="1"/>
    <xf numFmtId="0" fontId="1" fillId="0" borderId="0" xfId="8" applyFont="1" applyProtection="1">
      <protection hidden="1"/>
    </xf>
    <xf numFmtId="0" fontId="1" fillId="0" borderId="0" xfId="8" applyFont="1" applyAlignment="1" applyProtection="1">
      <alignment horizontal="center"/>
      <protection hidden="1"/>
    </xf>
    <xf numFmtId="1" fontId="1" fillId="0" borderId="0" xfId="8" applyNumberFormat="1" applyFont="1" applyBorder="1" applyAlignment="1" applyProtection="1">
      <alignment horizontal="left"/>
      <protection hidden="1"/>
    </xf>
    <xf numFmtId="0" fontId="1" fillId="0" borderId="0" xfId="8" applyFont="1" applyAlignment="1" applyProtection="1">
      <protection hidden="1"/>
    </xf>
    <xf numFmtId="0" fontId="1" fillId="0" borderId="0" xfId="8" applyFont="1" applyAlignment="1" applyProtection="1">
      <alignment horizontal="left"/>
      <protection hidden="1"/>
    </xf>
    <xf numFmtId="0" fontId="1" fillId="0" borderId="0" xfId="8" applyFont="1" applyBorder="1" applyAlignment="1" applyProtection="1">
      <protection hidden="1"/>
    </xf>
    <xf numFmtId="0" fontId="1" fillId="0" borderId="0" xfId="8" applyFont="1" applyBorder="1" applyAlignment="1" applyProtection="1">
      <alignment horizontal="center"/>
      <protection hidden="1"/>
    </xf>
    <xf numFmtId="1" fontId="1" fillId="0" borderId="0" xfId="8" applyNumberFormat="1" applyFont="1" applyBorder="1" applyAlignment="1" applyProtection="1">
      <alignment horizontal="center"/>
      <protection hidden="1"/>
    </xf>
    <xf numFmtId="3" fontId="1" fillId="0" borderId="0" xfId="8" applyNumberFormat="1" applyFont="1" applyProtection="1">
      <protection hidden="1"/>
    </xf>
    <xf numFmtId="0" fontId="1" fillId="0" borderId="0" xfId="8" applyFont="1" applyBorder="1" applyAlignment="1" applyProtection="1">
      <alignment horizontal="left"/>
      <protection hidden="1"/>
    </xf>
    <xf numFmtId="0" fontId="1" fillId="0" borderId="0" xfId="8" applyFont="1" applyBorder="1" applyProtection="1">
      <protection hidden="1"/>
    </xf>
    <xf numFmtId="173" fontId="1" fillId="0" borderId="0" xfId="8" applyNumberFormat="1" applyFont="1" applyBorder="1" applyAlignment="1" applyProtection="1">
      <alignment horizontal="center"/>
      <protection hidden="1"/>
    </xf>
    <xf numFmtId="175" fontId="1" fillId="0" borderId="0" xfId="8" applyNumberFormat="1" applyFont="1" applyBorder="1" applyAlignment="1" applyProtection="1">
      <alignment horizontal="center"/>
      <protection hidden="1"/>
    </xf>
    <xf numFmtId="3" fontId="1" fillId="0" borderId="0" xfId="8" applyNumberFormat="1" applyFont="1" applyBorder="1" applyAlignment="1" applyProtection="1">
      <alignment horizontal="center"/>
      <protection hidden="1"/>
    </xf>
    <xf numFmtId="188" fontId="1" fillId="0" borderId="0" xfId="8" applyNumberFormat="1" applyFont="1" applyBorder="1" applyAlignment="1" applyProtection="1">
      <alignment horizontal="center"/>
      <protection hidden="1"/>
    </xf>
    <xf numFmtId="176" fontId="1" fillId="0" borderId="0" xfId="8" applyNumberFormat="1" applyFont="1" applyBorder="1" applyAlignment="1" applyProtection="1">
      <alignment horizontal="center"/>
      <protection hidden="1"/>
    </xf>
    <xf numFmtId="177" fontId="1" fillId="0" borderId="0" xfId="8" applyNumberFormat="1" applyFont="1" applyAlignment="1" applyProtection="1">
      <alignment horizontal="center"/>
      <protection hidden="1"/>
    </xf>
    <xf numFmtId="168" fontId="1" fillId="0" borderId="0" xfId="8" applyNumberFormat="1" applyFont="1" applyAlignment="1" applyProtection="1">
      <alignment horizontal="center"/>
      <protection hidden="1"/>
    </xf>
    <xf numFmtId="178" fontId="1" fillId="0" borderId="0" xfId="8" applyNumberFormat="1" applyFont="1" applyProtection="1">
      <protection hidden="1"/>
    </xf>
    <xf numFmtId="187" fontId="1" fillId="0" borderId="0" xfId="8" applyNumberFormat="1" applyFont="1" applyBorder="1" applyAlignment="1" applyProtection="1">
      <alignment horizontal="center"/>
      <protection hidden="1"/>
    </xf>
    <xf numFmtId="179" fontId="1" fillId="0" borderId="0" xfId="8" applyNumberFormat="1" applyFont="1" applyAlignment="1" applyProtection="1">
      <alignment horizontal="center"/>
      <protection hidden="1"/>
    </xf>
    <xf numFmtId="180" fontId="1" fillId="0" borderId="0" xfId="8" applyNumberFormat="1" applyFont="1" applyAlignment="1" applyProtection="1">
      <alignment horizontal="center"/>
      <protection hidden="1"/>
    </xf>
    <xf numFmtId="181" fontId="1" fillId="0" borderId="0" xfId="8" applyNumberFormat="1" applyFont="1" applyProtection="1">
      <protection hidden="1"/>
    </xf>
    <xf numFmtId="185" fontId="1" fillId="0" borderId="0" xfId="8" applyNumberFormat="1" applyFont="1" applyAlignment="1" applyProtection="1">
      <alignment horizontal="right"/>
      <protection hidden="1"/>
    </xf>
    <xf numFmtId="164" fontId="1" fillId="0" borderId="0" xfId="8" applyNumberFormat="1" applyFont="1" applyBorder="1" applyAlignment="1" applyProtection="1">
      <alignment horizontal="center"/>
      <protection hidden="1"/>
    </xf>
    <xf numFmtId="3" fontId="1" fillId="0" borderId="0" xfId="8" applyNumberFormat="1" applyFont="1" applyAlignment="1" applyProtection="1">
      <alignment horizontal="center"/>
      <protection hidden="1"/>
    </xf>
    <xf numFmtId="182" fontId="1" fillId="0" borderId="0" xfId="8" applyNumberFormat="1" applyFont="1" applyAlignment="1" applyProtection="1">
      <alignment horizontal="center"/>
      <protection hidden="1"/>
    </xf>
    <xf numFmtId="184" fontId="1" fillId="0" borderId="0" xfId="8" applyNumberFormat="1" applyFont="1" applyAlignment="1" applyProtection="1">
      <alignment horizontal="center"/>
      <protection hidden="1"/>
    </xf>
    <xf numFmtId="183" fontId="1" fillId="0" borderId="0" xfId="8" applyNumberFormat="1" applyFont="1" applyAlignment="1" applyProtection="1">
      <alignment horizontal="center"/>
      <protection hidden="1"/>
    </xf>
    <xf numFmtId="164" fontId="1" fillId="0" borderId="0" xfId="8" applyNumberFormat="1" applyFont="1" applyBorder="1" applyAlignment="1" applyProtection="1">
      <alignment horizontal="left"/>
      <protection hidden="1"/>
    </xf>
    <xf numFmtId="2" fontId="1" fillId="0" borderId="0" xfId="8" applyNumberFormat="1" applyFont="1" applyBorder="1" applyAlignment="1" applyProtection="1">
      <alignment horizontal="center"/>
      <protection hidden="1"/>
    </xf>
    <xf numFmtId="0" fontId="1" fillId="0" borderId="0" xfId="8" applyNumberFormat="1" applyFont="1" applyAlignment="1" applyProtection="1">
      <alignment horizontal="center"/>
      <protection hidden="1"/>
    </xf>
    <xf numFmtId="164" fontId="1" fillId="0" borderId="0" xfId="8" applyNumberFormat="1" applyFont="1" applyBorder="1" applyAlignment="1" applyProtection="1">
      <protection hidden="1"/>
    </xf>
    <xf numFmtId="4" fontId="1" fillId="0" borderId="0" xfId="8" applyNumberFormat="1" applyFont="1" applyBorder="1" applyAlignment="1" applyProtection="1">
      <alignment horizontal="center"/>
      <protection hidden="1"/>
    </xf>
    <xf numFmtId="195" fontId="1" fillId="0" borderId="0" xfId="8" applyNumberFormat="1" applyFont="1" applyBorder="1" applyAlignment="1" applyProtection="1">
      <alignment horizontal="center"/>
      <protection hidden="1"/>
    </xf>
    <xf numFmtId="0" fontId="1" fillId="0" borderId="0" xfId="8" applyFont="1" applyAlignment="1" applyProtection="1">
      <alignment horizontal="right"/>
      <protection hidden="1"/>
    </xf>
    <xf numFmtId="186" fontId="1" fillId="0" borderId="0" xfId="8" applyNumberFormat="1" applyFont="1" applyAlignment="1" applyProtection="1">
      <alignment horizontal="left"/>
      <protection hidden="1"/>
    </xf>
    <xf numFmtId="189" fontId="1" fillId="0" borderId="0" xfId="8" applyNumberFormat="1" applyFont="1" applyAlignment="1" applyProtection="1">
      <alignment horizontal="left"/>
      <protection hidden="1"/>
    </xf>
    <xf numFmtId="168" fontId="1" fillId="8" borderId="0" xfId="8" applyNumberFormat="1" applyFont="1" applyFill="1" applyAlignment="1" applyProtection="1">
      <alignment horizontal="center"/>
      <protection hidden="1"/>
    </xf>
    <xf numFmtId="0" fontId="1" fillId="8" borderId="0" xfId="8" applyFont="1" applyFill="1" applyProtection="1">
      <protection hidden="1"/>
    </xf>
    <xf numFmtId="3" fontId="1" fillId="0" borderId="0" xfId="0" applyNumberFormat="1" applyFont="1" applyAlignment="1" applyProtection="1">
      <alignment horizontal="righ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96" fontId="1" fillId="7" borderId="0" xfId="0" applyNumberFormat="1" applyFont="1" applyFill="1" applyProtection="1">
      <protection hidden="1"/>
    </xf>
    <xf numFmtId="0" fontId="1" fillId="7" borderId="22" xfId="0" applyFont="1" applyFill="1" applyBorder="1" applyAlignment="1" applyProtection="1">
      <alignment horizontal="center"/>
      <protection hidden="1"/>
    </xf>
    <xf numFmtId="0" fontId="1" fillId="7" borderId="23" xfId="0" applyFont="1" applyFill="1" applyBorder="1" applyAlignment="1" applyProtection="1">
      <alignment horizontal="center"/>
      <protection hidden="1"/>
    </xf>
    <xf numFmtId="0" fontId="1" fillId="7" borderId="21" xfId="0" applyFont="1" applyFill="1" applyBorder="1" applyAlignment="1" applyProtection="1">
      <alignment horizontal="center"/>
      <protection hidden="1"/>
    </xf>
    <xf numFmtId="0" fontId="1" fillId="7" borderId="0" xfId="0" applyFont="1" applyFill="1" applyBorder="1" applyAlignment="1" applyProtection="1">
      <alignment horizontal="center"/>
      <protection hidden="1"/>
    </xf>
    <xf numFmtId="0" fontId="1" fillId="3" borderId="3" xfId="0" applyNumberFormat="1" applyFont="1" applyFill="1" applyBorder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3" fontId="1" fillId="9" borderId="0" xfId="0" applyNumberFormat="1" applyFont="1" applyFill="1" applyAlignment="1" applyProtection="1">
      <alignment horizontal="left"/>
      <protection hidden="1"/>
    </xf>
    <xf numFmtId="4" fontId="1" fillId="9" borderId="0" xfId="0" applyNumberFormat="1" applyFont="1" applyFill="1" applyAlignment="1" applyProtection="1">
      <alignment horizontal="center"/>
      <protection hidden="1"/>
    </xf>
    <xf numFmtId="168" fontId="1" fillId="9" borderId="0" xfId="0" applyNumberFormat="1" applyFont="1" applyFill="1" applyBorder="1" applyAlignment="1" applyProtection="1">
      <alignment horizontal="center"/>
      <protection hidden="1"/>
    </xf>
    <xf numFmtId="1" fontId="1" fillId="9" borderId="0" xfId="0" applyNumberFormat="1" applyFont="1" applyFill="1" applyBorder="1" applyAlignment="1" applyProtection="1">
      <alignment horizontal="center"/>
      <protection hidden="1"/>
    </xf>
    <xf numFmtId="3" fontId="1" fillId="9" borderId="0" xfId="0" applyNumberFormat="1" applyFont="1" applyFill="1" applyBorder="1" applyAlignment="1" applyProtection="1">
      <alignment horizontal="center"/>
      <protection hidden="1"/>
    </xf>
    <xf numFmtId="1" fontId="1" fillId="9" borderId="0" xfId="0" applyNumberFormat="1" applyFont="1" applyFill="1" applyAlignment="1" applyProtection="1">
      <alignment horizontal="center"/>
      <protection hidden="1"/>
    </xf>
    <xf numFmtId="168" fontId="1" fillId="9" borderId="0" xfId="0" applyNumberFormat="1" applyFont="1" applyFill="1" applyAlignment="1" applyProtection="1">
      <alignment horizontal="center"/>
      <protection hidden="1"/>
    </xf>
    <xf numFmtId="3" fontId="1" fillId="9" borderId="0" xfId="0" applyNumberFormat="1" applyFont="1" applyFill="1" applyAlignment="1" applyProtection="1">
      <alignment horizontal="center"/>
      <protection hidden="1"/>
    </xf>
    <xf numFmtId="3" fontId="1" fillId="9" borderId="0" xfId="8" applyNumberFormat="1" applyFont="1" applyFill="1" applyAlignment="1" applyProtection="1">
      <alignment horizontal="left"/>
      <protection hidden="1"/>
    </xf>
    <xf numFmtId="168" fontId="1" fillId="9" borderId="0" xfId="8" applyNumberFormat="1" applyFont="1" applyFill="1" applyBorder="1" applyAlignment="1" applyProtection="1">
      <alignment horizontal="center"/>
      <protection hidden="1"/>
    </xf>
    <xf numFmtId="1" fontId="1" fillId="9" borderId="0" xfId="8" applyNumberFormat="1" applyFont="1" applyFill="1" applyBorder="1" applyAlignment="1" applyProtection="1">
      <alignment horizontal="center"/>
      <protection hidden="1"/>
    </xf>
    <xf numFmtId="3" fontId="1" fillId="9" borderId="0" xfId="8" applyNumberFormat="1" applyFont="1" applyFill="1" applyAlignment="1" applyProtection="1">
      <alignment horizontal="center"/>
      <protection hidden="1"/>
    </xf>
    <xf numFmtId="168" fontId="1" fillId="9" borderId="0" xfId="8" applyNumberFormat="1" applyFont="1" applyFill="1" applyAlignment="1" applyProtection="1">
      <alignment horizontal="center"/>
      <protection hidden="1"/>
    </xf>
    <xf numFmtId="190" fontId="1" fillId="9" borderId="0" xfId="8" applyNumberFormat="1" applyFont="1" applyFill="1" applyAlignment="1" applyProtection="1">
      <alignment horizontal="center"/>
      <protection hidden="1"/>
    </xf>
    <xf numFmtId="191" fontId="1" fillId="9" borderId="0" xfId="8" applyNumberFormat="1" applyFont="1" applyFill="1" applyAlignment="1" applyProtection="1">
      <alignment horizontal="center"/>
      <protection hidden="1"/>
    </xf>
    <xf numFmtId="3" fontId="1" fillId="9" borderId="0" xfId="8" applyNumberFormat="1" applyFont="1" applyFill="1" applyBorder="1" applyAlignment="1" applyProtection="1">
      <alignment horizontal="center"/>
      <protection hidden="1"/>
    </xf>
    <xf numFmtId="0" fontId="1" fillId="9" borderId="0" xfId="8" applyFont="1" applyFill="1" applyProtection="1">
      <protection hidden="1"/>
    </xf>
    <xf numFmtId="0" fontId="1" fillId="9" borderId="0" xfId="8" applyFont="1" applyFill="1" applyAlignment="1" applyProtection="1">
      <alignment horizontal="left"/>
      <protection hidden="1"/>
    </xf>
    <xf numFmtId="1" fontId="1" fillId="9" borderId="0" xfId="8" applyNumberFormat="1" applyFont="1" applyFill="1" applyAlignment="1" applyProtection="1">
      <alignment horizontal="center"/>
      <protection hidden="1"/>
    </xf>
    <xf numFmtId="0" fontId="1" fillId="9" borderId="0" xfId="8" applyFont="1" applyFill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Protection="1">
      <protection hidden="1"/>
    </xf>
    <xf numFmtId="3" fontId="1" fillId="0" borderId="0" xfId="0" applyNumberFormat="1" applyFont="1" applyFill="1" applyBorder="1" applyProtection="1">
      <protection hidden="1"/>
    </xf>
    <xf numFmtId="3" fontId="1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92" fontId="1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2" applyFont="1" applyFill="1" applyBorder="1"/>
    <xf numFmtId="2" fontId="1" fillId="0" borderId="0" xfId="0" applyNumberFormat="1" applyFont="1" applyFill="1" applyBorder="1" applyAlignment="1" applyProtection="1">
      <alignment horizontal="left"/>
      <protection hidden="1"/>
    </xf>
    <xf numFmtId="165" fontId="1" fillId="0" borderId="0" xfId="0" applyNumberFormat="1" applyFont="1" applyFill="1" applyBorder="1" applyProtection="1">
      <protection hidden="1"/>
    </xf>
    <xf numFmtId="165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39" xfId="0" applyFont="1" applyFill="1" applyBorder="1" applyProtection="1">
      <protection hidden="1"/>
    </xf>
    <xf numFmtId="0" fontId="1" fillId="0" borderId="41" xfId="0" applyFont="1" applyFill="1" applyBorder="1" applyProtection="1">
      <protection hidden="1"/>
    </xf>
    <xf numFmtId="0" fontId="1" fillId="0" borderId="40" xfId="0" applyFont="1" applyFill="1" applyBorder="1" applyProtection="1">
      <protection hidden="1"/>
    </xf>
    <xf numFmtId="0" fontId="1" fillId="0" borderId="42" xfId="0" applyFont="1" applyFill="1" applyBorder="1" applyProtection="1">
      <protection hidden="1"/>
    </xf>
    <xf numFmtId="0" fontId="1" fillId="0" borderId="43" xfId="0" applyFont="1" applyFill="1" applyBorder="1" applyProtection="1">
      <protection hidden="1"/>
    </xf>
    <xf numFmtId="0" fontId="1" fillId="0" borderId="44" xfId="0" applyFont="1" applyFill="1" applyBorder="1" applyProtection="1">
      <protection hidden="1"/>
    </xf>
    <xf numFmtId="0" fontId="1" fillId="0" borderId="45" xfId="0" applyFont="1" applyFill="1" applyBorder="1" applyProtection="1">
      <protection hidden="1"/>
    </xf>
    <xf numFmtId="3" fontId="1" fillId="0" borderId="46" xfId="0" applyNumberFormat="1" applyFont="1" applyFill="1" applyBorder="1" applyProtection="1">
      <protection hidden="1"/>
    </xf>
    <xf numFmtId="0" fontId="1" fillId="0" borderId="46" xfId="0" applyFont="1" applyFill="1" applyBorder="1" applyProtection="1">
      <protection hidden="1"/>
    </xf>
    <xf numFmtId="0" fontId="1" fillId="0" borderId="47" xfId="0" applyFont="1" applyFill="1" applyBorder="1" applyProtection="1">
      <protection hidden="1"/>
    </xf>
    <xf numFmtId="3" fontId="1" fillId="0" borderId="48" xfId="0" applyNumberFormat="1" applyFont="1" applyFill="1" applyBorder="1" applyProtection="1">
      <protection hidden="1"/>
    </xf>
    <xf numFmtId="3" fontId="1" fillId="0" borderId="49" xfId="0" applyNumberFormat="1" applyFont="1" applyFill="1" applyBorder="1" applyProtection="1">
      <protection hidden="1"/>
    </xf>
    <xf numFmtId="3" fontId="1" fillId="0" borderId="9" xfId="0" applyNumberFormat="1" applyFont="1" applyFill="1" applyBorder="1" applyAlignment="1" applyProtection="1">
      <alignment horizontal="right"/>
      <protection hidden="1"/>
    </xf>
    <xf numFmtId="165" fontId="1" fillId="0" borderId="9" xfId="0" applyNumberFormat="1" applyFont="1" applyFill="1" applyBorder="1" applyProtection="1">
      <protection hidden="1"/>
    </xf>
    <xf numFmtId="190" fontId="1" fillId="0" borderId="0" xfId="0" applyNumberFormat="1" applyFont="1" applyFill="1" applyBorder="1" applyAlignment="1" applyProtection="1">
      <alignment horizontal="right"/>
      <protection hidden="1"/>
    </xf>
    <xf numFmtId="164" fontId="1" fillId="0" borderId="9" xfId="0" applyNumberFormat="1" applyFont="1" applyFill="1" applyBorder="1" applyAlignment="1" applyProtection="1">
      <alignment horizontal="right"/>
      <protection hidden="1"/>
    </xf>
    <xf numFmtId="164" fontId="1" fillId="0" borderId="9" xfId="0" applyNumberFormat="1" applyFont="1" applyFill="1" applyBorder="1" applyProtection="1"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Protection="1">
      <protection hidden="1"/>
    </xf>
    <xf numFmtId="164" fontId="1" fillId="0" borderId="0" xfId="0" applyNumberFormat="1" applyFont="1" applyFill="1" applyBorder="1" applyAlignment="1" applyProtection="1">
      <alignment horizontal="right"/>
      <protection hidden="1"/>
    </xf>
    <xf numFmtId="190" fontId="1" fillId="0" borderId="9" xfId="0" applyNumberFormat="1" applyFont="1" applyFill="1" applyBorder="1" applyAlignment="1" applyProtection="1">
      <alignment horizontal="right"/>
      <protection hidden="1"/>
    </xf>
    <xf numFmtId="190" fontId="1" fillId="0" borderId="9" xfId="0" applyNumberFormat="1" applyFont="1" applyFill="1" applyBorder="1" applyProtection="1">
      <protection hidden="1"/>
    </xf>
    <xf numFmtId="190" fontId="1" fillId="0" borderId="0" xfId="0" applyNumberFormat="1" applyFont="1" applyFill="1" applyBorder="1" applyAlignment="1" applyProtection="1">
      <alignment horizontal="center"/>
      <protection hidden="1"/>
    </xf>
    <xf numFmtId="190" fontId="1" fillId="0" borderId="0" xfId="0" applyNumberFormat="1" applyFont="1" applyFill="1" applyBorder="1" applyProtection="1">
      <protection hidden="1"/>
    </xf>
    <xf numFmtId="3" fontId="1" fillId="0" borderId="9" xfId="0" applyNumberFormat="1" applyFont="1" applyFill="1" applyBorder="1" applyProtection="1">
      <protection hidden="1"/>
    </xf>
    <xf numFmtId="190" fontId="1" fillId="0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Fill="1"/>
    <xf numFmtId="191" fontId="1" fillId="0" borderId="0" xfId="0" applyNumberFormat="1" applyFont="1" applyFill="1" applyBorder="1" applyProtection="1">
      <protection hidden="1"/>
    </xf>
    <xf numFmtId="168" fontId="1" fillId="0" borderId="0" xfId="0" applyNumberFormat="1" applyFont="1" applyFill="1" applyBorder="1" applyProtection="1">
      <protection hidden="1"/>
    </xf>
    <xf numFmtId="3" fontId="1" fillId="0" borderId="3" xfId="0" applyNumberFormat="1" applyFont="1" applyBorder="1" applyProtection="1">
      <protection hidden="1"/>
    </xf>
    <xf numFmtId="3" fontId="1" fillId="0" borderId="3" xfId="0" applyNumberFormat="1" applyFont="1" applyBorder="1" applyAlignment="1" applyProtection="1">
      <alignment horizontal="left"/>
      <protection hidden="1"/>
    </xf>
    <xf numFmtId="0" fontId="1" fillId="0" borderId="4" xfId="0" applyNumberFormat="1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right"/>
      <protection hidden="1"/>
    </xf>
    <xf numFmtId="0" fontId="1" fillId="3" borderId="0" xfId="0" applyNumberFormat="1" applyFont="1" applyFill="1" applyProtection="1">
      <protection hidden="1"/>
    </xf>
    <xf numFmtId="190" fontId="1" fillId="0" borderId="0" xfId="0" applyNumberFormat="1" applyFont="1" applyFill="1" applyProtection="1">
      <protection hidden="1"/>
    </xf>
    <xf numFmtId="164" fontId="1" fillId="0" borderId="12" xfId="0" applyNumberFormat="1" applyFont="1" applyBorder="1" applyAlignment="1" applyProtection="1">
      <alignment horizontal="center"/>
      <protection hidden="1"/>
    </xf>
    <xf numFmtId="3" fontId="3" fillId="2" borderId="2" xfId="0" applyNumberFormat="1" applyFont="1" applyFill="1" applyBorder="1" applyAlignment="1" applyProtection="1">
      <alignment horizontal="left"/>
    </xf>
    <xf numFmtId="0" fontId="1" fillId="3" borderId="2" xfId="0" applyNumberFormat="1" applyFont="1" applyFill="1" applyBorder="1" applyAlignment="1" applyProtection="1">
      <alignment horizontal="center"/>
      <protection hidden="1"/>
    </xf>
    <xf numFmtId="3" fontId="4" fillId="0" borderId="0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Border="1" applyAlignment="1" applyProtection="1">
      <alignment horizontal="right"/>
      <protection hidden="1"/>
    </xf>
    <xf numFmtId="165" fontId="2" fillId="0" borderId="0" xfId="0" applyNumberFormat="1" applyFont="1" applyBorder="1" applyProtection="1">
      <protection hidden="1"/>
    </xf>
    <xf numFmtId="165" fontId="2" fillId="0" borderId="0" xfId="0" applyNumberFormat="1" applyFont="1" applyBorder="1" applyAlignment="1" applyProtection="1">
      <alignment horizontal="center"/>
      <protection hidden="1"/>
    </xf>
    <xf numFmtId="3" fontId="2" fillId="0" borderId="0" xfId="0" applyNumberFormat="1" applyFont="1" applyBorder="1" applyProtection="1">
      <protection hidden="1"/>
    </xf>
    <xf numFmtId="3" fontId="2" fillId="0" borderId="0" xfId="0" applyNumberFormat="1" applyFont="1" applyFill="1" applyBorder="1" applyAlignment="1" applyProtection="1">
      <alignment horizontal="left"/>
      <protection hidden="1"/>
    </xf>
    <xf numFmtId="3" fontId="2" fillId="0" borderId="0" xfId="0" applyNumberFormat="1" applyFont="1" applyBorder="1" applyAlignment="1" applyProtection="1">
      <alignment horizontal="center"/>
      <protection hidden="1"/>
    </xf>
    <xf numFmtId="3" fontId="2" fillId="0" borderId="0" xfId="0" applyNumberFormat="1" applyFont="1" applyFill="1" applyBorder="1" applyAlignment="1" applyProtection="1">
      <alignment horizontal="center"/>
      <protection hidden="1"/>
    </xf>
    <xf numFmtId="3" fontId="4" fillId="0" borderId="0" xfId="0" applyNumberFormat="1" applyFont="1" applyFill="1" applyBorder="1" applyAlignment="1" applyProtection="1">
      <alignment horizontal="left"/>
      <protection hidden="1"/>
    </xf>
    <xf numFmtId="0" fontId="1" fillId="10" borderId="0" xfId="0" applyFont="1" applyFill="1" applyProtection="1">
      <protection hidden="1"/>
    </xf>
    <xf numFmtId="0" fontId="1" fillId="5" borderId="0" xfId="0" applyFont="1" applyFill="1" applyAlignment="1" applyProtection="1">
      <alignment horizontal="right"/>
      <protection hidden="1"/>
    </xf>
    <xf numFmtId="0" fontId="1" fillId="9" borderId="0" xfId="0" applyFont="1" applyFill="1" applyAlignment="1" applyProtection="1">
      <alignment horizontal="right"/>
      <protection hidden="1"/>
    </xf>
    <xf numFmtId="0" fontId="1" fillId="5" borderId="0" xfId="0" applyFont="1" applyFill="1" applyProtection="1">
      <protection hidden="1"/>
    </xf>
    <xf numFmtId="0" fontId="1" fillId="9" borderId="0" xfId="0" applyFont="1" applyFill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3" fontId="4" fillId="0" borderId="0" xfId="0" applyNumberFormat="1" applyFont="1" applyBorder="1" applyAlignment="1" applyProtection="1">
      <alignment horizontal="center"/>
      <protection hidden="1"/>
    </xf>
    <xf numFmtId="165" fontId="4" fillId="0" borderId="0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Border="1" applyProtection="1">
      <protection hidden="1"/>
    </xf>
    <xf numFmtId="3" fontId="3" fillId="2" borderId="3" xfId="0" applyNumberFormat="1" applyFont="1" applyFill="1" applyBorder="1" applyProtection="1">
      <protection hidden="1"/>
    </xf>
    <xf numFmtId="3" fontId="1" fillId="3" borderId="3" xfId="0" applyNumberFormat="1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4" fillId="0" borderId="13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4" fillId="0" borderId="34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2" fillId="0" borderId="50" xfId="0" applyFont="1" applyBorder="1" applyProtection="1">
      <protection hidden="1"/>
    </xf>
    <xf numFmtId="0" fontId="2" fillId="0" borderId="51" xfId="0" applyFont="1" applyBorder="1" applyProtection="1">
      <protection hidden="1"/>
    </xf>
    <xf numFmtId="0" fontId="2" fillId="0" borderId="52" xfId="0" applyFont="1" applyBorder="1" applyProtection="1">
      <protection hidden="1"/>
    </xf>
    <xf numFmtId="0" fontId="2" fillId="0" borderId="53" xfId="0" applyFont="1" applyBorder="1" applyProtection="1">
      <protection hidden="1"/>
    </xf>
    <xf numFmtId="0" fontId="2" fillId="0" borderId="54" xfId="0" applyFont="1" applyBorder="1" applyProtection="1">
      <protection hidden="1"/>
    </xf>
    <xf numFmtId="3" fontId="4" fillId="0" borderId="11" xfId="0" applyNumberFormat="1" applyFont="1" applyBorder="1" applyAlignment="1" applyProtection="1">
      <alignment horizontal="left"/>
      <protection hidden="1"/>
    </xf>
    <xf numFmtId="3" fontId="2" fillId="0" borderId="55" xfId="0" applyNumberFormat="1" applyFont="1" applyBorder="1" applyAlignment="1" applyProtection="1">
      <alignment horizontal="left"/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0" borderId="37" xfId="0" applyFont="1" applyBorder="1" applyProtection="1">
      <protection hidden="1"/>
    </xf>
    <xf numFmtId="0" fontId="1" fillId="0" borderId="38" xfId="0" applyFont="1" applyBorder="1" applyProtection="1">
      <protection hidden="1"/>
    </xf>
    <xf numFmtId="165" fontId="4" fillId="0" borderId="0" xfId="0" applyNumberFormat="1" applyFont="1" applyBorder="1" applyProtection="1">
      <protection hidden="1"/>
    </xf>
    <xf numFmtId="2" fontId="4" fillId="0" borderId="0" xfId="0" applyNumberFormat="1" applyFont="1" applyBorder="1" applyAlignment="1" applyProtection="1">
      <alignment horizontal="left"/>
      <protection hidden="1"/>
    </xf>
    <xf numFmtId="0" fontId="1" fillId="2" borderId="2" xfId="0" applyNumberFormat="1" applyFont="1" applyFill="1" applyBorder="1" applyProtection="1">
      <protection hidden="1"/>
    </xf>
    <xf numFmtId="0" fontId="5" fillId="0" borderId="5" xfId="0" applyFont="1" applyFill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0" fontId="1" fillId="0" borderId="9" xfId="0" applyFont="1" applyBorder="1" applyAlignment="1" applyProtection="1">
      <alignment horizontal="right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4" fillId="0" borderId="0" xfId="2" applyFont="1" applyBorder="1" applyProtection="1"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0" fontId="12" fillId="0" borderId="0" xfId="7" applyFont="1"/>
    <xf numFmtId="0" fontId="1" fillId="9" borderId="0" xfId="2" applyFont="1" applyFill="1"/>
    <xf numFmtId="0" fontId="1" fillId="0" borderId="0" xfId="2" applyFont="1" applyFill="1"/>
    <xf numFmtId="0" fontId="1" fillId="0" borderId="0" xfId="2" applyFont="1" applyFill="1" applyAlignment="1">
      <alignment horizontal="right"/>
    </xf>
    <xf numFmtId="0" fontId="1" fillId="9" borderId="0" xfId="2" applyFont="1" applyFill="1" applyAlignment="1">
      <alignment horizontal="right"/>
    </xf>
    <xf numFmtId="3" fontId="1" fillId="9" borderId="0" xfId="2" applyNumberFormat="1" applyFont="1" applyFill="1"/>
    <xf numFmtId="49" fontId="1" fillId="0" borderId="0" xfId="2" applyNumberFormat="1" applyFont="1" applyFill="1"/>
    <xf numFmtId="3" fontId="1" fillId="0" borderId="0" xfId="2" applyNumberFormat="1" applyFont="1" applyAlignment="1">
      <alignment horizontal="right"/>
    </xf>
    <xf numFmtId="0" fontId="1" fillId="0" borderId="0" xfId="2" applyNumberFormat="1" applyFont="1" applyFill="1" applyAlignment="1">
      <alignment horizontal="right"/>
    </xf>
    <xf numFmtId="2" fontId="1" fillId="0" borderId="0" xfId="0" applyNumberFormat="1" applyFont="1" applyAlignment="1" applyProtection="1">
      <alignment horizontal="right"/>
      <protection hidden="1"/>
    </xf>
    <xf numFmtId="0" fontId="1" fillId="9" borderId="0" xfId="2" applyFont="1" applyFill="1" applyAlignment="1">
      <alignment horizontal="left"/>
    </xf>
    <xf numFmtId="0" fontId="1" fillId="0" borderId="0" xfId="2" quotePrefix="1" applyFont="1" applyAlignment="1">
      <alignment horizontal="right"/>
    </xf>
    <xf numFmtId="0" fontId="2" fillId="0" borderId="0" xfId="0" applyFont="1" applyFill="1" applyBorder="1" applyProtection="1"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9" xfId="0" applyFont="1" applyFill="1" applyBorder="1" applyAlignment="1" applyProtection="1">
      <alignment horizontal="left"/>
      <protection hidden="1"/>
    </xf>
    <xf numFmtId="0" fontId="1" fillId="0" borderId="9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Protection="1">
      <protection hidden="1"/>
    </xf>
    <xf numFmtId="0" fontId="1" fillId="0" borderId="9" xfId="0" applyFont="1" applyFill="1" applyBorder="1" applyAlignment="1" applyProtection="1">
      <alignment horizontal="right"/>
      <protection hidden="1"/>
    </xf>
    <xf numFmtId="0" fontId="1" fillId="0" borderId="9" xfId="0" applyFont="1" applyFill="1" applyBorder="1" applyProtection="1">
      <protection hidden="1"/>
    </xf>
    <xf numFmtId="0" fontId="1" fillId="0" borderId="10" xfId="0" applyFont="1" applyFill="1" applyBorder="1" applyAlignment="1" applyProtection="1">
      <alignment horizontal="center"/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3" fontId="1" fillId="0" borderId="6" xfId="0" applyNumberFormat="1" applyFont="1" applyFill="1" applyBorder="1" applyAlignment="1" applyProtection="1">
      <alignment horizontal="center"/>
      <protection hidden="1"/>
    </xf>
    <xf numFmtId="0" fontId="1" fillId="0" borderId="6" xfId="0" applyFont="1" applyFill="1" applyBorder="1" applyProtection="1">
      <protection hidden="1"/>
    </xf>
    <xf numFmtId="0" fontId="1" fillId="0" borderId="37" xfId="0" applyFont="1" applyFill="1" applyBorder="1" applyAlignment="1" applyProtection="1">
      <alignment horizontal="center"/>
      <protection hidden="1"/>
    </xf>
    <xf numFmtId="190" fontId="1" fillId="0" borderId="7" xfId="0" applyNumberFormat="1" applyFont="1" applyFill="1" applyBorder="1" applyAlignment="1" applyProtection="1">
      <alignment horizontal="left"/>
      <protection hidden="1"/>
    </xf>
    <xf numFmtId="3" fontId="1" fillId="0" borderId="7" xfId="0" applyNumberFormat="1" applyFont="1" applyFill="1" applyBorder="1" applyAlignment="1" applyProtection="1">
      <alignment horizontal="left"/>
      <protection hidden="1"/>
    </xf>
    <xf numFmtId="3" fontId="1" fillId="0" borderId="7" xfId="0" applyNumberFormat="1" applyFont="1" applyFill="1" applyBorder="1" applyProtection="1">
      <protection hidden="1"/>
    </xf>
    <xf numFmtId="0" fontId="1" fillId="0" borderId="38" xfId="0" applyFont="1" applyFill="1" applyBorder="1" applyProtection="1">
      <protection hidden="1"/>
    </xf>
    <xf numFmtId="190" fontId="2" fillId="0" borderId="0" xfId="0" applyNumberFormat="1" applyFont="1" applyBorder="1" applyAlignment="1" applyProtection="1">
      <alignment horizontal="right"/>
      <protection hidden="1"/>
    </xf>
    <xf numFmtId="190" fontId="4" fillId="0" borderId="0" xfId="0" applyNumberFormat="1" applyFont="1" applyBorder="1" applyAlignment="1" applyProtection="1">
      <alignment horizontal="right"/>
      <protection hidden="1"/>
    </xf>
    <xf numFmtId="49" fontId="1" fillId="0" borderId="0" xfId="0" applyNumberFormat="1" applyFont="1" applyBorder="1" applyProtection="1">
      <protection hidden="1"/>
    </xf>
    <xf numFmtId="164" fontId="1" fillId="0" borderId="14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Fill="1" applyBorder="1" applyProtection="1">
      <protection hidden="1"/>
    </xf>
    <xf numFmtId="0" fontId="1" fillId="0" borderId="0" xfId="2" applyNumberFormat="1" applyFont="1" applyAlignment="1">
      <alignment horizontal="right"/>
    </xf>
    <xf numFmtId="0" fontId="1" fillId="0" borderId="0" xfId="5" applyFont="1" applyAlignment="1" applyProtection="1">
      <alignment horizontal="center"/>
      <protection hidden="1"/>
    </xf>
    <xf numFmtId="164" fontId="1" fillId="0" borderId="0" xfId="0" quotePrefix="1" applyNumberFormat="1" applyFont="1" applyAlignment="1" applyProtection="1">
      <alignment horizontal="center"/>
      <protection hidden="1"/>
    </xf>
    <xf numFmtId="0" fontId="1" fillId="8" borderId="0" xfId="2" applyFont="1" applyFill="1"/>
    <xf numFmtId="0" fontId="1" fillId="0" borderId="0" xfId="0" quotePrefix="1" applyFont="1"/>
    <xf numFmtId="0" fontId="1" fillId="0" borderId="0" xfId="2" applyNumberFormat="1" applyFont="1" applyBorder="1" applyProtection="1">
      <protection hidden="1"/>
    </xf>
    <xf numFmtId="1" fontId="1" fillId="0" borderId="0" xfId="0" applyNumberFormat="1" applyFont="1" applyBorder="1" applyProtection="1">
      <protection hidden="1"/>
    </xf>
    <xf numFmtId="0" fontId="1" fillId="0" borderId="0" xfId="0" applyNumberFormat="1" applyFont="1" applyBorder="1" applyProtection="1">
      <protection hidden="1"/>
    </xf>
    <xf numFmtId="3" fontId="1" fillId="8" borderId="0" xfId="2" applyNumberFormat="1" applyFont="1" applyFill="1"/>
    <xf numFmtId="0" fontId="1" fillId="8" borderId="2" xfId="0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190" fontId="1" fillId="0" borderId="0" xfId="0" applyNumberFormat="1" applyFont="1" applyProtection="1">
      <protection hidden="1"/>
    </xf>
    <xf numFmtId="0" fontId="0" fillId="2" borderId="2" xfId="0" applyFill="1" applyBorder="1" applyAlignment="1">
      <alignment horizontal="center"/>
    </xf>
    <xf numFmtId="3" fontId="1" fillId="0" borderId="7" xfId="0" applyNumberFormat="1" applyFont="1" applyFill="1" applyBorder="1" applyAlignment="1" applyProtection="1">
      <alignment horizontal="right"/>
      <protection hidden="1"/>
    </xf>
    <xf numFmtId="3" fontId="2" fillId="0" borderId="56" xfId="0" applyNumberFormat="1" applyFont="1" applyBorder="1" applyAlignment="1" applyProtection="1">
      <alignment horizontal="left"/>
      <protection hidden="1"/>
    </xf>
    <xf numFmtId="3" fontId="2" fillId="0" borderId="57" xfId="0" applyNumberFormat="1" applyFont="1" applyBorder="1" applyAlignment="1" applyProtection="1">
      <alignment horizontal="left"/>
      <protection hidden="1"/>
    </xf>
    <xf numFmtId="3" fontId="1" fillId="0" borderId="7" xfId="0" applyNumberFormat="1" applyFont="1" applyBorder="1" applyAlignment="1" applyProtection="1">
      <alignment horizontal="right"/>
      <protection hidden="1"/>
    </xf>
    <xf numFmtId="165" fontId="1" fillId="0" borderId="7" xfId="0" applyNumberFormat="1" applyFont="1" applyBorder="1" applyProtection="1">
      <protection hidden="1"/>
    </xf>
    <xf numFmtId="0" fontId="2" fillId="4" borderId="2" xfId="0" applyNumberFormat="1" applyFont="1" applyFill="1" applyBorder="1" applyProtection="1">
      <protection locked="0"/>
    </xf>
    <xf numFmtId="49" fontId="3" fillId="0" borderId="0" xfId="0" applyNumberFormat="1" applyFont="1" applyProtection="1"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left"/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3" fontId="1" fillId="0" borderId="4" xfId="0" applyNumberFormat="1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1" fontId="2" fillId="2" borderId="2" xfId="0" applyNumberFormat="1" applyFont="1" applyFill="1" applyBorder="1" applyAlignment="1" applyProtection="1">
      <alignment horizontal="center"/>
      <protection hidden="1"/>
    </xf>
    <xf numFmtId="3" fontId="2" fillId="2" borderId="2" xfId="0" applyNumberFormat="1" applyFont="1" applyFill="1" applyBorder="1" applyAlignment="1" applyProtection="1">
      <alignment horizontal="center"/>
      <protection hidden="1"/>
    </xf>
    <xf numFmtId="190" fontId="2" fillId="2" borderId="2" xfId="0" applyNumberFormat="1" applyFont="1" applyFill="1" applyBorder="1" applyAlignment="1" applyProtection="1">
      <alignment horizontal="center"/>
      <protection hidden="1"/>
    </xf>
    <xf numFmtId="49" fontId="1" fillId="3" borderId="2" xfId="0" applyNumberFormat="1" applyFont="1" applyFill="1" applyBorder="1" applyProtection="1">
      <protection hidden="1"/>
    </xf>
    <xf numFmtId="1" fontId="1" fillId="2" borderId="2" xfId="0" applyNumberFormat="1" applyFont="1" applyFill="1" applyBorder="1" applyAlignment="1" applyProtection="1">
      <alignment horizontal="center"/>
      <protection hidden="1"/>
    </xf>
    <xf numFmtId="165" fontId="1" fillId="2" borderId="2" xfId="0" applyNumberFormat="1" applyFont="1" applyFill="1" applyBorder="1" applyAlignment="1" applyProtection="1">
      <alignment horizontal="center"/>
      <protection hidden="1"/>
    </xf>
    <xf numFmtId="3" fontId="1" fillId="2" borderId="3" xfId="0" applyNumberFormat="1" applyFont="1" applyFill="1" applyBorder="1" applyAlignment="1" applyProtection="1">
      <alignment horizontal="left"/>
      <protection hidden="1"/>
    </xf>
    <xf numFmtId="3" fontId="2" fillId="4" borderId="3" xfId="0" applyNumberFormat="1" applyFont="1" applyFill="1" applyBorder="1" applyAlignment="1" applyProtection="1">
      <alignment horizontal="center"/>
      <protection hidden="1"/>
    </xf>
    <xf numFmtId="193" fontId="2" fillId="4" borderId="3" xfId="0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Protection="1">
      <protection hidden="1"/>
    </xf>
    <xf numFmtId="49" fontId="1" fillId="0" borderId="0" xfId="0" applyNumberFormat="1" applyFont="1"/>
    <xf numFmtId="49" fontId="1" fillId="0" borderId="22" xfId="0" applyNumberFormat="1" applyFont="1" applyBorder="1"/>
    <xf numFmtId="0" fontId="1" fillId="0" borderId="22" xfId="0" applyFont="1" applyBorder="1"/>
    <xf numFmtId="49" fontId="1" fillId="0" borderId="23" xfId="0" applyNumberFormat="1" applyFont="1" applyBorder="1"/>
    <xf numFmtId="0" fontId="1" fillId="0" borderId="23" xfId="0" applyFont="1" applyBorder="1"/>
    <xf numFmtId="49" fontId="1" fillId="0" borderId="21" xfId="0" applyNumberFormat="1" applyFont="1" applyBorder="1"/>
    <xf numFmtId="0" fontId="1" fillId="0" borderId="21" xfId="0" applyFont="1" applyBorder="1"/>
    <xf numFmtId="0" fontId="1" fillId="0" borderId="8" xfId="0" applyFont="1" applyBorder="1"/>
    <xf numFmtId="49" fontId="1" fillId="0" borderId="0" xfId="0" applyNumberFormat="1" applyFont="1" applyBorder="1"/>
    <xf numFmtId="0" fontId="1" fillId="0" borderId="37" xfId="0" applyFont="1" applyBorder="1"/>
    <xf numFmtId="0" fontId="1" fillId="0" borderId="7" xfId="0" applyFont="1" applyBorder="1"/>
    <xf numFmtId="0" fontId="1" fillId="0" borderId="38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198" fontId="1" fillId="0" borderId="0" xfId="0" applyNumberFormat="1" applyFont="1" applyProtection="1">
      <protection hidden="1"/>
    </xf>
    <xf numFmtId="199" fontId="2" fillId="4" borderId="2" xfId="0" applyNumberFormat="1" applyFont="1" applyFill="1" applyBorder="1" applyAlignment="1" applyProtection="1">
      <alignment horizontal="center"/>
      <protection locked="0"/>
    </xf>
    <xf numFmtId="0" fontId="1" fillId="9" borderId="0" xfId="0" applyFont="1" applyFill="1"/>
    <xf numFmtId="0" fontId="1" fillId="0" borderId="0" xfId="0" applyFont="1" applyAlignment="1">
      <alignment horizontal="left"/>
    </xf>
    <xf numFmtId="0" fontId="1" fillId="9" borderId="0" xfId="0" applyFont="1" applyFill="1" applyAlignment="1">
      <alignment horizontal="center"/>
    </xf>
    <xf numFmtId="166" fontId="1" fillId="0" borderId="6" xfId="0" applyNumberFormat="1" applyFont="1" applyBorder="1"/>
    <xf numFmtId="0" fontId="1" fillId="8" borderId="0" xfId="0" applyFont="1" applyFill="1" applyBorder="1" applyAlignment="1">
      <alignment horizontal="center"/>
    </xf>
    <xf numFmtId="3" fontId="1" fillId="8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3" fontId="1" fillId="8" borderId="0" xfId="0" applyNumberFormat="1" applyFont="1" applyFill="1" applyBorder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1" fillId="0" borderId="0" xfId="2" applyNumberFormat="1" applyFont="1" applyFill="1"/>
    <xf numFmtId="190" fontId="6" fillId="0" borderId="0" xfId="3" applyNumberFormat="1"/>
    <xf numFmtId="0" fontId="1" fillId="8" borderId="0" xfId="0" applyFont="1" applyFill="1" applyProtection="1">
      <protection hidden="1"/>
    </xf>
    <xf numFmtId="164" fontId="1" fillId="2" borderId="2" xfId="0" applyNumberFormat="1" applyFont="1" applyFill="1" applyBorder="1" applyAlignment="1" applyProtection="1">
      <alignment horizontal="center"/>
      <protection hidden="1"/>
    </xf>
    <xf numFmtId="49" fontId="1" fillId="8" borderId="2" xfId="0" applyNumberFormat="1" applyFont="1" applyFill="1" applyBorder="1" applyAlignment="1" applyProtection="1">
      <alignment horizontal="left"/>
      <protection locked="0"/>
    </xf>
    <xf numFmtId="49" fontId="1" fillId="8" borderId="1" xfId="0" applyNumberFormat="1" applyFont="1" applyFill="1" applyBorder="1" applyAlignment="1" applyProtection="1">
      <alignment horizontal="left"/>
      <protection locked="0"/>
    </xf>
    <xf numFmtId="0" fontId="1" fillId="0" borderId="0" xfId="4" applyFont="1" applyAlignment="1" applyProtection="1">
      <alignment horizontal="right"/>
      <protection hidden="1"/>
    </xf>
    <xf numFmtId="0" fontId="1" fillId="0" borderId="0" xfId="4" applyFont="1" applyProtection="1">
      <protection hidden="1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13" fillId="11" borderId="9" xfId="0" applyFont="1" applyFill="1" applyBorder="1" applyProtection="1">
      <protection hidden="1"/>
    </xf>
    <xf numFmtId="0" fontId="13" fillId="11" borderId="0" xfId="0" applyFont="1" applyFill="1" applyBorder="1" applyProtection="1">
      <protection hidden="1"/>
    </xf>
    <xf numFmtId="0" fontId="13" fillId="11" borderId="7" xfId="0" applyFont="1" applyFill="1" applyBorder="1" applyProtection="1">
      <protection hidden="1"/>
    </xf>
    <xf numFmtId="49" fontId="2" fillId="4" borderId="21" xfId="0" applyNumberFormat="1" applyFont="1" applyFill="1" applyBorder="1" applyAlignment="1" applyProtection="1">
      <alignment horizontal="center"/>
      <protection hidden="1"/>
    </xf>
    <xf numFmtId="49" fontId="2" fillId="4" borderId="1" xfId="0" applyNumberFormat="1" applyFont="1" applyFill="1" applyBorder="1" applyAlignment="1" applyProtection="1">
      <alignment horizontal="center"/>
      <protection hidden="1"/>
    </xf>
    <xf numFmtId="3" fontId="2" fillId="7" borderId="4" xfId="0" applyNumberFormat="1" applyFont="1" applyFill="1" applyBorder="1" applyAlignment="1" applyProtection="1">
      <alignment horizontal="center"/>
      <protection hidden="1"/>
    </xf>
    <xf numFmtId="49" fontId="2" fillId="7" borderId="3" xfId="0" applyNumberFormat="1" applyFont="1" applyFill="1" applyBorder="1" applyAlignment="1" applyProtection="1">
      <alignment horizontal="center"/>
      <protection hidden="1"/>
    </xf>
    <xf numFmtId="49" fontId="2" fillId="7" borderId="4" xfId="0" applyNumberFormat="1" applyFont="1" applyFill="1" applyBorder="1" applyAlignment="1" applyProtection="1">
      <alignment horizontal="left"/>
      <protection hidden="1"/>
    </xf>
    <xf numFmtId="49" fontId="2" fillId="7" borderId="4" xfId="0" applyNumberFormat="1" applyFont="1" applyFill="1" applyBorder="1" applyAlignment="1" applyProtection="1">
      <alignment horizontal="center"/>
      <protection hidden="1"/>
    </xf>
    <xf numFmtId="49" fontId="13" fillId="11" borderId="4" xfId="0" applyNumberFormat="1" applyFont="1" applyFill="1" applyBorder="1" applyAlignment="1" applyProtection="1">
      <alignment horizontal="center"/>
      <protection hidden="1"/>
    </xf>
    <xf numFmtId="49" fontId="2" fillId="7" borderId="1" xfId="0" applyNumberFormat="1" applyFont="1" applyFill="1" applyBorder="1" applyAlignment="1" applyProtection="1">
      <alignment horizontal="center"/>
      <protection hidden="1"/>
    </xf>
    <xf numFmtId="49" fontId="2" fillId="7" borderId="21" xfId="0" applyNumberFormat="1" applyFont="1" applyFill="1" applyBorder="1" applyAlignment="1" applyProtection="1">
      <alignment horizontal="center"/>
      <protection hidden="1"/>
    </xf>
    <xf numFmtId="0" fontId="11" fillId="2" borderId="2" xfId="0" applyNumberFormat="1" applyFont="1" applyFill="1" applyBorder="1" applyProtection="1">
      <protection hidden="1"/>
    </xf>
    <xf numFmtId="0" fontId="11" fillId="2" borderId="2" xfId="0" applyFont="1" applyFill="1" applyBorder="1" applyProtection="1">
      <protection hidden="1"/>
    </xf>
  </cellXfs>
  <cellStyles count="9">
    <cellStyle name="Normal" xfId="0" builtinId="0"/>
    <cellStyle name="Normal_13" xfId="1"/>
    <cellStyle name="Normal_Book2" xfId="2"/>
    <cellStyle name="Normal_Book3" xfId="3"/>
    <cellStyle name="Normal_House Panel" xfId="4"/>
    <cellStyle name="Normal_JUNK" xfId="5"/>
    <cellStyle name="Normal_new" xfId="6"/>
    <cellStyle name="Normal_p1" xfId="7"/>
    <cellStyle name="Normal_Short Circuit 2005" xfId="8"/>
  </cellStyles>
  <dxfs count="412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b val="0"/>
        <i val="0"/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5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46"/>
      </font>
      <fill>
        <patternFill>
          <bgColor indexed="46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>
          <bgColor indexed="51"/>
        </patternFill>
      </fill>
    </dxf>
    <dxf>
      <font>
        <condense val="0"/>
        <extend val="0"/>
        <color indexed="46"/>
      </font>
      <fill>
        <patternFill>
          <bgColor indexed="46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46"/>
      </font>
      <fill>
        <patternFill>
          <bgColor indexed="46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5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5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142875</xdr:rowOff>
    </xdr:from>
    <xdr:to>
      <xdr:col>8</xdr:col>
      <xdr:colOff>438150</xdr:colOff>
      <xdr:row>21</xdr:row>
      <xdr:rowOff>0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952500"/>
          <a:ext cx="4648200" cy="2447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showGridLines="0" showRowColHeaders="0" tabSelected="1" showOutlineSymbols="0" workbookViewId="0"/>
  </sheetViews>
  <sheetFormatPr defaultColWidth="0" defaultRowHeight="11.25" zeroHeight="1"/>
  <cols>
    <col min="1" max="1" width="2.33203125" style="1" customWidth="1"/>
    <col min="2" max="2" width="3.83203125" style="1" customWidth="1"/>
    <col min="3" max="3" width="11.83203125" style="1" customWidth="1"/>
    <col min="4" max="4" width="24.83203125" style="1" customWidth="1"/>
    <col min="5" max="7" width="2.83203125" style="1" customWidth="1"/>
    <col min="8" max="8" width="8.83203125" style="1" customWidth="1"/>
    <col min="9" max="9" width="3.83203125" style="1" customWidth="1"/>
    <col min="10" max="10" width="8.83203125" style="1" customWidth="1"/>
    <col min="11" max="13" width="2.83203125" style="1" customWidth="1"/>
    <col min="14" max="14" width="24.83203125" style="1" customWidth="1"/>
    <col min="15" max="15" width="11.83203125" style="1" customWidth="1"/>
    <col min="16" max="16" width="3.83203125" style="1" customWidth="1"/>
    <col min="17" max="17" width="2.33203125" style="1" customWidth="1"/>
    <col min="18" max="19" width="10.83203125" style="1" hidden="1" customWidth="1"/>
    <col min="20" max="21" width="10.83203125" style="126" hidden="1" customWidth="1"/>
    <col min="22" max="22" width="10.83203125" style="1" hidden="1" customWidth="1"/>
    <col min="23" max="31" width="10.83203125" style="133" hidden="1" customWidth="1"/>
    <col min="32" max="43" width="10.83203125" style="126" hidden="1" customWidth="1"/>
    <col min="44" max="52" width="10.83203125" style="133" hidden="1" customWidth="1"/>
    <col min="53" max="58" width="10.83203125" style="151" hidden="1" customWidth="1"/>
    <col min="59" max="62" width="10.83203125" style="133" hidden="1" customWidth="1"/>
    <col min="63" max="75" width="10.83203125" style="151" hidden="1" customWidth="1"/>
    <col min="76" max="76" width="10.83203125" style="1" hidden="1" customWidth="1"/>
    <col min="77" max="78" width="10.83203125" style="127" hidden="1" customWidth="1"/>
    <col min="79" max="79" width="10.83203125" style="128" hidden="1" customWidth="1"/>
    <col min="80" max="81" width="10.83203125" style="129" hidden="1" customWidth="1"/>
    <col min="82" max="85" width="10.83203125" style="127" hidden="1" customWidth="1"/>
    <col min="86" max="87" width="10.83203125" style="129" hidden="1" customWidth="1"/>
    <col min="88" max="94" width="10.83203125" style="127" hidden="1" customWidth="1"/>
    <col min="95" max="95" width="10.83203125" style="16" hidden="1" customWidth="1"/>
    <col min="96" max="235" width="10.83203125" style="1" hidden="1" customWidth="1"/>
    <col min="236" max="16384" width="0" style="1" hidden="1"/>
  </cols>
  <sheetData>
    <row r="1" spans="1:150">
      <c r="A1" s="92"/>
      <c r="B1" s="119" t="s">
        <v>988</v>
      </c>
      <c r="C1" s="114"/>
      <c r="D1" s="92"/>
      <c r="E1" s="92"/>
      <c r="F1" s="92"/>
      <c r="G1" s="92"/>
      <c r="H1" s="92"/>
      <c r="I1" s="115" t="s">
        <v>227</v>
      </c>
      <c r="J1" s="92"/>
      <c r="K1" s="92"/>
      <c r="L1" s="92"/>
      <c r="M1" s="92"/>
      <c r="N1" s="92"/>
      <c r="O1" s="92"/>
      <c r="P1" s="92"/>
      <c r="Q1" s="92"/>
      <c r="W1" s="133" t="s">
        <v>234</v>
      </c>
      <c r="CT1" s="1" t="s">
        <v>362</v>
      </c>
    </row>
    <row r="2" spans="1:150" ht="12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W2" s="148" t="str">
        <f>D3</f>
        <v>CP1</v>
      </c>
      <c r="CS2" s="1" t="s">
        <v>12</v>
      </c>
      <c r="CT2" s="1" t="str">
        <f>IF(DA54=1,"",DA54)</f>
        <v/>
      </c>
      <c r="CU2" s="1" t="str">
        <f>IF(DA54=1,""," - ")</f>
        <v/>
      </c>
      <c r="CV2" s="1" t="str">
        <f>CV33</f>
        <v>1 1/4''</v>
      </c>
      <c r="CW2" s="1" t="s">
        <v>12</v>
      </c>
      <c r="CX2" s="1" t="str">
        <f>EG25</f>
        <v>RIGID</v>
      </c>
      <c r="CY2" s="1" t="s">
        <v>360</v>
      </c>
      <c r="CZ2" s="1">
        <f>CZ10</f>
        <v>4</v>
      </c>
      <c r="DA2" s="1" t="s">
        <v>361</v>
      </c>
      <c r="DB2" s="1" t="str">
        <f>CY54</f>
        <v>#4</v>
      </c>
      <c r="DC2" s="1" t="s">
        <v>12</v>
      </c>
      <c r="DD2" s="16" t="s">
        <v>12</v>
      </c>
      <c r="DE2" s="1">
        <f>DA54</f>
        <v>1</v>
      </c>
      <c r="DF2" s="1" t="s">
        <v>304</v>
      </c>
      <c r="DG2" s="1" t="str">
        <f>IF(DE2=1,"CONDUIT","CONDUITS")</f>
        <v>CONDUIT</v>
      </c>
      <c r="DH2" s="1" t="str">
        <f>CONCATENATE(DD2,DE2,DF2,DG2)</f>
        <v xml:space="preserve"> 1 - CONDUIT</v>
      </c>
    </row>
    <row r="3" spans="1:150" ht="12" customHeight="1">
      <c r="A3" s="92"/>
      <c r="B3" s="93" t="s">
        <v>0</v>
      </c>
      <c r="C3" s="94"/>
      <c r="D3" s="124" t="s">
        <v>987</v>
      </c>
      <c r="E3" s="95" t="str">
        <f>IF(CC32&gt;0,"&lt;"," ")</f>
        <v xml:space="preserve"> </v>
      </c>
      <c r="F3" s="94" t="str">
        <f>IF(CC32&gt;0,CD32," ")</f>
        <v xml:space="preserve"> </v>
      </c>
      <c r="G3" s="94"/>
      <c r="H3" s="94"/>
      <c r="I3" s="96"/>
      <c r="J3" s="97" t="str">
        <f>IF(CH1&gt;0," ",IF(AND(H9="ROMEX",H8="3Y",CC30&lt;&gt;24)," ROMEX IS NOT AVAILABLE IN 4-CONDUCTOR", IF(AND(H9="SER",H8="3Y",H14="CU",CC30&lt;&gt;24)," 4-CONDUCTOR SER CABLE IS NOT AVAILABLE IN COPPER"," ")))</f>
        <v xml:space="preserve"> </v>
      </c>
      <c r="K3" s="94"/>
      <c r="L3" s="94"/>
      <c r="M3" s="94"/>
      <c r="N3" s="232"/>
      <c r="O3" s="617"/>
      <c r="P3" s="96"/>
      <c r="Q3" s="98"/>
      <c r="S3" s="1">
        <f>IF(AND(H9="SER",H8="3Y",H14="CU"),1,0)</f>
        <v>0</v>
      </c>
      <c r="T3" s="131" t="str">
        <f>H23</f>
        <v>Y</v>
      </c>
      <c r="W3" s="133" t="s">
        <v>235</v>
      </c>
      <c r="BY3" s="130"/>
      <c r="BZ3" s="130"/>
      <c r="CT3" s="1" t="str">
        <f>IF(CT2=1,"CONDUIT","CONDUITS")</f>
        <v>CONDUITS</v>
      </c>
      <c r="CU3" s="1" t="str">
        <f>CONCATENATE(CT2,CU2,CV2,)</f>
        <v>1 1/4''</v>
      </c>
      <c r="CV3" s="1" t="str">
        <f>CONCATENATE(CX2)</f>
        <v>RIGID</v>
      </c>
      <c r="DD3" s="1" t="s">
        <v>12</v>
      </c>
      <c r="DE3" s="1" t="str">
        <f>CV33</f>
        <v>1 1/4''</v>
      </c>
      <c r="DF3" s="1" t="s">
        <v>12</v>
      </c>
      <c r="DG3" s="16" t="str">
        <f>EG25</f>
        <v>RIGID</v>
      </c>
      <c r="DH3" s="1" t="str">
        <f>CONCATENATE(DD3,DE3,DF3,DG3)</f>
        <v xml:space="preserve"> 1 1/4'' RIGID</v>
      </c>
      <c r="EB3" s="1" t="s">
        <v>255</v>
      </c>
      <c r="EC3" s="1" t="str">
        <f>H17</f>
        <v>RIGID</v>
      </c>
    </row>
    <row r="4" spans="1:150" ht="12" customHeight="1">
      <c r="A4" s="92"/>
      <c r="B4" s="99" t="s">
        <v>6</v>
      </c>
      <c r="C4" s="94"/>
      <c r="D4" s="610" t="s">
        <v>871</v>
      </c>
      <c r="E4" s="94" t="str">
        <f>IF(CC33&gt;0,"&lt;"," ")</f>
        <v xml:space="preserve"> </v>
      </c>
      <c r="F4" s="94" t="str">
        <f>IF(CC33&gt;0,CD33," ")</f>
        <v xml:space="preserve"> </v>
      </c>
      <c r="G4" s="94"/>
      <c r="H4" s="95"/>
      <c r="I4" s="96"/>
      <c r="J4" s="97" t="str">
        <f>IF(AND('Sec Cable'!M18="EXCEED",CC30&lt;&gt;24),'Sec Cable'!J23," ")</f>
        <v xml:space="preserve"> </v>
      </c>
      <c r="K4" s="94"/>
      <c r="L4" s="94"/>
      <c r="M4" s="94"/>
      <c r="N4" s="97"/>
      <c r="O4" s="618"/>
      <c r="P4" s="231"/>
      <c r="Q4" s="98"/>
      <c r="S4" s="1">
        <f>IF(AND('Sec Cable'!M18="EXCEED",CC30&lt;&gt;24),1,0)</f>
        <v>0</v>
      </c>
      <c r="T4" s="131" t="s">
        <v>477</v>
      </c>
      <c r="W4" s="133" t="str">
        <f>CONCATENATE(W1,W2,W3)</f>
        <v>LOAD CALCULATIONS FOR "PANEL CP1"</v>
      </c>
      <c r="BY4" s="142" t="e">
        <f>VLOOKUP(CB36,CA7:CD36,4)</f>
        <v>#N/A</v>
      </c>
      <c r="BZ4" s="130"/>
      <c r="CA4" s="131"/>
      <c r="CB4" s="132" t="s">
        <v>3</v>
      </c>
      <c r="CC4" s="132"/>
      <c r="CD4" s="133"/>
      <c r="CE4" s="133"/>
      <c r="CF4" s="133"/>
      <c r="CG4" s="133"/>
      <c r="CH4" s="132"/>
      <c r="CI4" s="132"/>
      <c r="CJ4" s="133"/>
      <c r="CK4" s="133"/>
      <c r="CL4" s="133"/>
      <c r="CM4" s="133"/>
      <c r="CN4" s="133"/>
      <c r="CO4" s="133"/>
      <c r="CP4" s="133"/>
      <c r="CQ4" s="1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J4" s="22"/>
      <c r="DR4" s="45" t="s">
        <v>4</v>
      </c>
      <c r="DT4" s="22"/>
      <c r="DU4" s="22"/>
      <c r="DV4" s="22"/>
      <c r="DW4" s="22"/>
      <c r="DX4" s="22"/>
      <c r="DY4" s="22"/>
      <c r="DZ4" s="22"/>
      <c r="EA4" s="22"/>
      <c r="EB4" s="53" t="s">
        <v>75</v>
      </c>
      <c r="EC4" s="54">
        <f>IF(EC3="GENERAL",1,0)</f>
        <v>0</v>
      </c>
      <c r="ED4" s="22"/>
      <c r="EF4" s="45" t="s">
        <v>5</v>
      </c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</row>
    <row r="5" spans="1:150" ht="12" customHeight="1">
      <c r="A5" s="92"/>
      <c r="B5" s="99" t="s">
        <v>566</v>
      </c>
      <c r="C5" s="94"/>
      <c r="D5" s="100" t="str">
        <f>IF(CC7&gt;0,CD7," ")</f>
        <v xml:space="preserve"> </v>
      </c>
      <c r="E5" s="251"/>
      <c r="F5" s="95" t="str">
        <f>IF(CC7&gt;0,"&gt;"," ")</f>
        <v xml:space="preserve"> </v>
      </c>
      <c r="G5" s="95" t="str">
        <f>IF(CC7&gt;0,"&gt;"," ")</f>
        <v xml:space="preserve"> </v>
      </c>
      <c r="H5" s="120">
        <v>84</v>
      </c>
      <c r="I5" s="96"/>
      <c r="J5" s="97" t="str">
        <f>IF(AND('Sec Cable'!M18="EXCEED",CC30&lt;&gt;24),'Sec Cable'!J24," ")</f>
        <v xml:space="preserve"> </v>
      </c>
      <c r="K5" s="94"/>
      <c r="L5" s="94"/>
      <c r="M5" s="94"/>
      <c r="N5" s="97"/>
      <c r="O5" s="619"/>
      <c r="P5" s="96"/>
      <c r="Q5" s="98"/>
      <c r="R5" s="603"/>
      <c r="T5" s="131" t="str">
        <f>IF(H23="FUSE",IF(H8=1,"L1 L2",IF(H8="3Y","L1-L3",IF(AND(H8="3D",H9="AUTO"),"L1 L3"," ")))," ")</f>
        <v xml:space="preserve"> </v>
      </c>
      <c r="BY5" s="130"/>
      <c r="BZ5" s="130"/>
      <c r="CA5" s="131"/>
      <c r="CB5" s="132" t="s">
        <v>7</v>
      </c>
      <c r="CC5" s="132"/>
      <c r="CD5" s="133" t="s">
        <v>8</v>
      </c>
      <c r="CE5" s="133"/>
      <c r="CF5" s="133"/>
      <c r="CG5" s="133"/>
      <c r="CH5" s="132"/>
      <c r="CI5" s="132"/>
      <c r="CJ5" s="133"/>
      <c r="CK5" s="133"/>
      <c r="CL5" s="133"/>
      <c r="CM5" s="133"/>
      <c r="CN5" s="133"/>
      <c r="CO5" s="133"/>
      <c r="CP5" s="133"/>
      <c r="CQ5" s="1"/>
      <c r="CX5" s="45" t="s">
        <v>247</v>
      </c>
      <c r="CY5" s="45"/>
      <c r="CZ5" s="22"/>
      <c r="DA5" s="22"/>
      <c r="DB5" s="22"/>
      <c r="DC5" s="22"/>
      <c r="DD5" s="22"/>
      <c r="DE5" s="22"/>
      <c r="DF5" s="22"/>
      <c r="DG5" s="22"/>
      <c r="DH5" s="22"/>
      <c r="DJ5" s="22"/>
      <c r="DT5" s="22"/>
      <c r="DU5" s="22"/>
      <c r="DV5" s="22"/>
      <c r="DW5" s="22"/>
      <c r="DX5" s="22"/>
      <c r="DY5" s="22"/>
      <c r="DZ5" s="22"/>
      <c r="EA5" s="22"/>
      <c r="EB5" s="53" t="s">
        <v>79</v>
      </c>
      <c r="EC5" s="54">
        <f>IF(EC3="RIGID",2,0)</f>
        <v>2</v>
      </c>
      <c r="ED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</row>
    <row r="6" spans="1:150" ht="12" customHeight="1">
      <c r="A6" s="92"/>
      <c r="B6" s="99" t="s">
        <v>10</v>
      </c>
      <c r="C6" s="94"/>
      <c r="D6" s="101" t="str">
        <f>IF(CC8&gt;0,CD8," ")</f>
        <v xml:space="preserve"> </v>
      </c>
      <c r="E6" s="251"/>
      <c r="F6" s="95"/>
      <c r="G6" s="95"/>
      <c r="H6" s="103">
        <v>240</v>
      </c>
      <c r="I6" s="96"/>
      <c r="J6" s="200" t="str">
        <f>IF(O6="ERROR","AFC AT THIS PANEL",IF(S6="NO"," ","AFC AT THIS PANEL"))</f>
        <v>AFC AT THIS PANEL</v>
      </c>
      <c r="K6" s="94"/>
      <c r="L6" s="94"/>
      <c r="M6" s="94"/>
      <c r="N6" s="97"/>
      <c r="O6" s="286" t="str">
        <f>IF(O8="ERROR","ERROR",Short!H30)</f>
        <v>15,304</v>
      </c>
      <c r="P6" s="96"/>
      <c r="Q6" s="98"/>
      <c r="S6" s="1">
        <f>'Output-Input'!I17</f>
        <v>28875</v>
      </c>
      <c r="T6" s="131" t="str">
        <f>CONCATENATE(T3,T4,T5)</f>
        <v xml:space="preserve">Y SIZE  </v>
      </c>
      <c r="BY6" s="130"/>
      <c r="BZ6" s="130"/>
      <c r="CA6" s="131"/>
      <c r="CB6" s="132"/>
      <c r="CC6" s="132"/>
      <c r="CD6" s="133"/>
      <c r="CE6" s="133" t="s">
        <v>12</v>
      </c>
      <c r="CF6" s="133"/>
      <c r="CG6" s="133"/>
      <c r="CH6" s="132"/>
      <c r="CI6" s="132"/>
      <c r="CJ6" s="133"/>
      <c r="CK6" s="133"/>
      <c r="CL6" s="133"/>
      <c r="CM6" s="133"/>
      <c r="CN6" s="133"/>
      <c r="CO6" s="133"/>
      <c r="CP6" s="133"/>
      <c r="CQ6" s="1"/>
      <c r="CV6" s="1" t="s">
        <v>535</v>
      </c>
      <c r="CW6" s="1" t="s">
        <v>471</v>
      </c>
      <c r="CX6" s="46" t="s">
        <v>13</v>
      </c>
      <c r="CY6" s="155" t="str">
        <f>H14</f>
        <v>AL</v>
      </c>
      <c r="CZ6" s="22"/>
      <c r="DA6" s="22"/>
      <c r="DB6" s="22"/>
      <c r="DC6" s="22"/>
      <c r="DD6" s="593" t="s">
        <v>842</v>
      </c>
      <c r="DE6" s="22"/>
      <c r="DF6" s="22"/>
      <c r="DG6" s="22"/>
      <c r="DH6" s="22"/>
      <c r="DJ6" s="22"/>
      <c r="DR6" s="46" t="s">
        <v>14</v>
      </c>
      <c r="DS6" s="47">
        <f>CY8</f>
        <v>57.9</v>
      </c>
      <c r="DT6" s="47">
        <f>CW11</f>
        <v>0</v>
      </c>
      <c r="DU6" s="22"/>
      <c r="DV6" s="22"/>
      <c r="DW6" s="22"/>
      <c r="DX6" s="22"/>
      <c r="DY6" s="22"/>
      <c r="DZ6" s="22"/>
      <c r="EA6" s="22"/>
      <c r="EB6" s="53" t="s">
        <v>81</v>
      </c>
      <c r="EC6" s="54">
        <f>IF(EC3="EMT",3,0)</f>
        <v>0</v>
      </c>
      <c r="ED6" s="22"/>
      <c r="EF6" s="48" t="s">
        <v>15</v>
      </c>
      <c r="EG6" s="47">
        <f>EC12</f>
        <v>2</v>
      </c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</row>
    <row r="7" spans="1:150" ht="12" customHeight="1">
      <c r="A7" s="92"/>
      <c r="B7" s="99" t="s">
        <v>16</v>
      </c>
      <c r="C7" s="94"/>
      <c r="D7" s="101" t="str">
        <f>IF(CC9&gt;0,CD9," ")</f>
        <v xml:space="preserve"> </v>
      </c>
      <c r="E7" s="251"/>
      <c r="F7" s="95"/>
      <c r="G7" s="95"/>
      <c r="H7" s="103">
        <v>120</v>
      </c>
      <c r="I7" s="96"/>
      <c r="J7" s="501" t="s">
        <v>768</v>
      </c>
      <c r="K7" s="94"/>
      <c r="L7" s="94"/>
      <c r="M7" s="94"/>
      <c r="N7" s="97"/>
      <c r="O7" s="233"/>
      <c r="P7" s="96"/>
      <c r="Q7" s="98"/>
      <c r="S7" s="1" t="s">
        <v>478</v>
      </c>
      <c r="BY7" s="130"/>
      <c r="BZ7" s="130"/>
      <c r="CA7" s="131">
        <v>1</v>
      </c>
      <c r="CB7" s="129">
        <f>CC7</f>
        <v>0</v>
      </c>
      <c r="CC7" s="132">
        <f>IF(H5=0,1,0)</f>
        <v>0</v>
      </c>
      <c r="CD7" s="133" t="s">
        <v>205</v>
      </c>
      <c r="CE7" s="133" t="s">
        <v>12</v>
      </c>
      <c r="CF7" s="133"/>
      <c r="CG7" s="133"/>
      <c r="CH7" s="132"/>
      <c r="CI7" s="132"/>
      <c r="CJ7" s="133"/>
      <c r="CK7" s="133"/>
      <c r="CL7" s="133"/>
      <c r="CM7" s="133"/>
      <c r="CN7" s="133"/>
      <c r="CO7" s="133"/>
      <c r="CP7" s="133"/>
      <c r="CQ7" s="1"/>
      <c r="CV7" s="1" t="s">
        <v>393</v>
      </c>
      <c r="CW7" s="1" t="s">
        <v>48</v>
      </c>
      <c r="CX7" s="49" t="s">
        <v>18</v>
      </c>
      <c r="CY7" s="50">
        <f>H15</f>
        <v>75</v>
      </c>
      <c r="CZ7" s="22"/>
      <c r="DA7" s="24" t="s">
        <v>487</v>
      </c>
      <c r="DB7" s="22"/>
      <c r="DC7" s="290">
        <f>MAX(CV8:CV9)</f>
        <v>57.9</v>
      </c>
      <c r="DD7" s="22">
        <f>DA54</f>
        <v>1</v>
      </c>
      <c r="DE7" s="293">
        <f>DC7/DD7</f>
        <v>57.9</v>
      </c>
      <c r="DF7" s="22"/>
      <c r="DR7" s="51" t="s">
        <v>19</v>
      </c>
      <c r="DS7" s="52">
        <f>DA54</f>
        <v>1</v>
      </c>
      <c r="DU7" s="22"/>
      <c r="DV7" s="22"/>
      <c r="DW7" s="22"/>
      <c r="DX7" s="22"/>
      <c r="DY7" s="22"/>
      <c r="DZ7" s="22"/>
      <c r="EA7" s="22"/>
      <c r="EB7" s="53" t="s">
        <v>82</v>
      </c>
      <c r="EC7" s="54">
        <f>IF(EC3="IMC",4,0)</f>
        <v>0</v>
      </c>
      <c r="ED7" s="22"/>
      <c r="EF7" s="51" t="s">
        <v>20</v>
      </c>
      <c r="EG7" s="52">
        <f>DZ84</f>
        <v>0.36620000000000003</v>
      </c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</row>
    <row r="8" spans="1:150" ht="12" customHeight="1">
      <c r="A8" s="92"/>
      <c r="B8" s="99" t="s">
        <v>21</v>
      </c>
      <c r="C8" s="94"/>
      <c r="D8" s="101" t="str">
        <f>IF(CH1&gt;0," ",IF(CC30&gt;0,CD30,IF(CC10=44,CD10," ")))</f>
        <v xml:space="preserve"> </v>
      </c>
      <c r="E8" s="251"/>
      <c r="F8" s="95" t="str">
        <f>IF(CH1&gt;0," ",IF(OR(CC30&gt;0,CC10=44),"&gt;"," "))</f>
        <v xml:space="preserve"> </v>
      </c>
      <c r="G8" s="95" t="str">
        <f>IF(CH1&gt;0," ",IF(OR(CC30&gt;0,CC10=44),"&gt;"," "))</f>
        <v xml:space="preserve"> </v>
      </c>
      <c r="H8" s="120" t="s">
        <v>478</v>
      </c>
      <c r="I8" s="96"/>
      <c r="J8" s="200" t="str">
        <f>IF(H9&lt;&gt;"CONDUIT","NUMBER OF CABLES","NUMBER OF CONDUITS")</f>
        <v>NUMBER OF CONDUITS</v>
      </c>
      <c r="K8" s="94"/>
      <c r="L8" s="94"/>
      <c r="M8" s="94"/>
      <c r="N8" s="97"/>
      <c r="O8" s="502">
        <f>IF(CF14&gt;0,"ERROR",IF(AND(H9&lt;&gt;"CONDUIT",'Sec Cable'!E18="ERROR"),"ERROR",DA54))</f>
        <v>1</v>
      </c>
      <c r="P8" s="96"/>
      <c r="Q8" s="98"/>
      <c r="S8" s="1">
        <f>IF(AND(S7="3Y",H8=1),1,0)</f>
        <v>0</v>
      </c>
      <c r="BY8" s="130"/>
      <c r="BZ8" s="130"/>
      <c r="CA8" s="131">
        <v>2</v>
      </c>
      <c r="CB8" s="129">
        <f>IF(SUM(CB$7:CB7)=0,CC8,0)</f>
        <v>0</v>
      </c>
      <c r="CC8" s="132">
        <v>0</v>
      </c>
      <c r="CD8" s="133" t="b">
        <f>IF(SUM(H6)&lt;1,"ERROR IN MAIN PANEL",IF(CL8&gt;0,CN8))</f>
        <v>0</v>
      </c>
      <c r="CE8" s="133"/>
      <c r="CF8" s="133"/>
      <c r="CG8" s="133"/>
      <c r="CH8" s="132"/>
      <c r="CI8" s="132"/>
      <c r="CJ8" s="133" t="s">
        <v>854</v>
      </c>
      <c r="CK8" s="133" t="s">
        <v>192</v>
      </c>
      <c r="CL8" s="133"/>
      <c r="CM8" s="133"/>
      <c r="CN8" s="133" t="str">
        <f>'Output-Input'!P11</f>
        <v>SOURCE VOLTAGE IS 0V</v>
      </c>
      <c r="CO8" s="133"/>
      <c r="CP8" s="133"/>
      <c r="CQ8" s="1"/>
      <c r="CT8" s="1" t="s">
        <v>26</v>
      </c>
      <c r="CU8" s="299">
        <f>Calcs!V43</f>
        <v>57.9</v>
      </c>
      <c r="CV8" s="1">
        <f>Calcs!I29</f>
        <v>57.9</v>
      </c>
      <c r="CW8" s="1" t="str">
        <f>Calcs!O29</f>
        <v xml:space="preserve"> </v>
      </c>
      <c r="CX8" s="49" t="s">
        <v>23</v>
      </c>
      <c r="CY8" s="590">
        <f>MAX(CU8:CU9)</f>
        <v>57.9</v>
      </c>
      <c r="CZ8" s="22"/>
      <c r="DA8" s="24" t="s">
        <v>486</v>
      </c>
      <c r="DB8" s="22"/>
      <c r="DC8" s="290">
        <f>IF(MAX(CW8:CW9)&gt;CY9,CY9,MAX(CW8:CW9))</f>
        <v>0</v>
      </c>
      <c r="DD8" s="22">
        <f>DD7</f>
        <v>1</v>
      </c>
      <c r="DE8" s="293">
        <f>DC8/DD8</f>
        <v>0</v>
      </c>
      <c r="DF8" s="22"/>
      <c r="DU8" s="22"/>
      <c r="DV8" s="22"/>
      <c r="DW8" s="22"/>
      <c r="DX8" s="22"/>
      <c r="DY8" s="22"/>
      <c r="DZ8" s="22"/>
      <c r="EA8" s="22"/>
      <c r="EB8" s="53" t="s">
        <v>86</v>
      </c>
      <c r="EC8" s="54">
        <f>IF(EC3="PVC-40",5,0)</f>
        <v>0</v>
      </c>
      <c r="ED8" s="22"/>
      <c r="EF8" s="30" t="s">
        <v>496</v>
      </c>
      <c r="EG8" s="27">
        <f>IF(DX84=2,0.31,0.4)</f>
        <v>0.4</v>
      </c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</row>
    <row r="9" spans="1:150" ht="12" customHeight="1">
      <c r="A9" s="92"/>
      <c r="B9" s="99" t="s">
        <v>873</v>
      </c>
      <c r="C9" s="94"/>
      <c r="D9" s="101" t="str">
        <f>IF(CH1&gt;0," ",IF(CC10&gt;0,CD10," "))</f>
        <v xml:space="preserve"> </v>
      </c>
      <c r="E9" s="251"/>
      <c r="F9" s="95" t="str">
        <f>IF(CH1&gt;0," ",IF(CC10&gt;0,"&gt;"," "))</f>
        <v xml:space="preserve"> </v>
      </c>
      <c r="G9" s="95" t="str">
        <f>IF(CH1&gt;0," ",IF(CC10&gt;0,"&gt;"," "))</f>
        <v xml:space="preserve"> </v>
      </c>
      <c r="H9" s="121" t="s">
        <v>32</v>
      </c>
      <c r="I9" s="96"/>
      <c r="J9" s="280" t="str">
        <f>IF(H9&lt;&gt;"CONDUIT","FEEDER CABLE","FEEDER CONDUIT")</f>
        <v>FEEDER CONDUIT</v>
      </c>
      <c r="K9" s="94"/>
      <c r="L9" s="94"/>
      <c r="M9" s="94"/>
      <c r="N9" s="97"/>
      <c r="O9" s="502" t="str">
        <f>IF(CF14&gt;0,"ERROR",IF(H9&lt;&gt;"CONDUIT",'Sec Cable'!E18,CV33))</f>
        <v>1 1/4''</v>
      </c>
      <c r="P9" s="96"/>
      <c r="Q9" s="98"/>
      <c r="BY9" s="130"/>
      <c r="BZ9" s="130"/>
      <c r="CA9" s="131">
        <v>3</v>
      </c>
      <c r="CB9" s="129">
        <f>IF(SUM(CB$7:CB8)=0,CC9,0)</f>
        <v>0</v>
      </c>
      <c r="CC9" s="132">
        <v>0</v>
      </c>
      <c r="CD9" s="133" t="s">
        <v>960</v>
      </c>
      <c r="CE9" s="133"/>
      <c r="CF9" s="133"/>
      <c r="CG9" s="133" t="s">
        <v>857</v>
      </c>
      <c r="CH9" s="132"/>
      <c r="CI9" s="132"/>
      <c r="CJ9" s="133" t="s">
        <v>852</v>
      </c>
      <c r="CK9" s="133" t="s">
        <v>192</v>
      </c>
      <c r="CL9" s="133"/>
      <c r="CM9" s="133"/>
      <c r="CN9" s="133" t="str">
        <f>'Output-Input'!P13</f>
        <v>SOURCE VOLTAGE IS 0V</v>
      </c>
      <c r="CO9" s="133"/>
      <c r="CP9" s="133"/>
      <c r="CQ9" s="1"/>
      <c r="CT9" s="1" t="s">
        <v>256</v>
      </c>
      <c r="CU9" s="16">
        <f>H18</f>
        <v>0</v>
      </c>
      <c r="CV9" s="16">
        <f>IF(H9="FULL",0,IF(H8="3D",H19,0))</f>
        <v>0</v>
      </c>
      <c r="CW9" s="1">
        <f>H11</f>
        <v>0</v>
      </c>
      <c r="CX9" s="49" t="s">
        <v>27</v>
      </c>
      <c r="CY9" s="590">
        <f>IF(CY8&gt;1000,1200,IF(CY8&gt;800,1000,CY8))</f>
        <v>57.9</v>
      </c>
      <c r="CZ9" s="22"/>
      <c r="DA9" s="24" t="s">
        <v>841</v>
      </c>
      <c r="DB9" s="22"/>
      <c r="DC9" s="293">
        <f>ROUND((CX54*33.34/100),1)</f>
        <v>21.7</v>
      </c>
      <c r="DD9" s="22">
        <f>DD8</f>
        <v>1</v>
      </c>
      <c r="DE9" s="293">
        <f>DC9/DD9</f>
        <v>21.7</v>
      </c>
      <c r="DF9" s="22"/>
      <c r="DS9" s="22"/>
      <c r="DU9" s="22"/>
      <c r="DV9" s="22"/>
      <c r="DW9" s="22"/>
      <c r="DX9" s="22"/>
      <c r="DY9" s="22"/>
      <c r="DZ9" s="22"/>
      <c r="EA9" s="22"/>
      <c r="EB9" s="53" t="s">
        <v>92</v>
      </c>
      <c r="EC9" s="54">
        <f>IF(EC3="RIGID/PVC",6,0)</f>
        <v>0</v>
      </c>
      <c r="ED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</row>
    <row r="10" spans="1:150" ht="12" customHeight="1">
      <c r="A10" s="92"/>
      <c r="B10" s="104"/>
      <c r="C10" s="94"/>
      <c r="D10" s="101" t="str">
        <f>IF(CC11&gt;0,CD11," ")</f>
        <v xml:space="preserve"> </v>
      </c>
      <c r="E10" s="251"/>
      <c r="F10" s="95" t="str">
        <f>IF(CC11&gt;0,"&gt;"," ")</f>
        <v xml:space="preserve"> </v>
      </c>
      <c r="G10" s="95" t="str">
        <f>IF(CC11&gt;0,"&gt;"," ")</f>
        <v xml:space="preserve"> </v>
      </c>
      <c r="H10" s="653" t="s">
        <v>865</v>
      </c>
      <c r="I10" s="96"/>
      <c r="J10" s="280" t="s">
        <v>501</v>
      </c>
      <c r="K10" s="94"/>
      <c r="L10" s="94"/>
      <c r="M10" s="94"/>
      <c r="N10" s="97"/>
      <c r="O10" s="502" t="str">
        <f>IF(CF14&gt;0,"ERROR",IF(H9&lt;&gt;"CONDUIT",'Sec Cable'!J18,CY54))</f>
        <v>#4</v>
      </c>
      <c r="P10" s="96"/>
      <c r="Q10" s="98"/>
      <c r="BY10" s="130"/>
      <c r="BZ10" s="130"/>
      <c r="CA10" s="131">
        <v>4</v>
      </c>
      <c r="CB10" s="129">
        <f>IF(SUM(CB$7:CB9)=0,CC10,0)</f>
        <v>0</v>
      </c>
      <c r="CC10" s="132">
        <f>IF(AND(H9="ROMEX",H8="3Y",CC30&lt;&gt;24),44,IF(ISBLANK(H9)=TRUE,4,IF(AND(H9="SER",H8="3Y",H14="CU",CC30&lt;&gt;24),44,IF(H9="CONDUIT",0,IF(AND(S4&gt;0,CC30&lt;&gt;24),43,IF(H9="SER",0,IF(H9="MC",0,IF(H9="ROMEX",0,4))))))))</f>
        <v>0</v>
      </c>
      <c r="CD10" s="133" t="str">
        <f>IF(AND(H9="ROMEX",H8="3Y",CC30&lt;&gt;24),"CHECK ENTRY",IF(AND(H9="SER",H8="3Y",H14="CU",CC30&lt;&gt;24),"CHECK ENTRY",IF(S4&gt;0,"CHECK ENTRY","SELECT FEEDER TYPE")))</f>
        <v>SELECT FEEDER TYPE</v>
      </c>
      <c r="CE10" s="133"/>
      <c r="CF10" s="133"/>
      <c r="CG10" s="133"/>
      <c r="CH10" s="132"/>
      <c r="CI10" s="132"/>
      <c r="CJ10" s="133"/>
      <c r="CK10" s="133"/>
      <c r="CL10" s="133"/>
      <c r="CM10" s="133"/>
      <c r="CN10" s="133"/>
      <c r="CO10" s="133"/>
      <c r="CP10" s="133"/>
      <c r="CQ10" s="1"/>
      <c r="CV10" s="1">
        <f>MAX(CV8:CV9)</f>
        <v>57.9</v>
      </c>
      <c r="CX10" s="49" t="s">
        <v>29</v>
      </c>
      <c r="CY10" s="50" t="str">
        <f>H10</f>
        <v>FULL</v>
      </c>
      <c r="CZ10" s="22">
        <f>IF(CY10="AUTO",4,IF(CY10="FULL",4,IF(CY10="NONE",3,"ERR")))</f>
        <v>4</v>
      </c>
      <c r="DA10" s="194" t="s">
        <v>193</v>
      </c>
      <c r="DB10" s="22"/>
      <c r="DC10" s="293">
        <f>MAX(DC8:DC9)</f>
        <v>21.7</v>
      </c>
      <c r="DD10" s="22"/>
      <c r="DE10" s="293">
        <f>MAX(DE8:DE9)</f>
        <v>21.7</v>
      </c>
      <c r="DF10" s="22"/>
      <c r="DR10" s="58" t="s">
        <v>30</v>
      </c>
      <c r="DS10" s="58" t="s">
        <v>31</v>
      </c>
      <c r="DU10" s="22"/>
      <c r="DV10" s="22"/>
      <c r="DW10" s="22"/>
      <c r="DX10" s="22"/>
      <c r="DY10" s="22"/>
      <c r="DZ10" s="22"/>
      <c r="EA10" s="22"/>
      <c r="EB10" s="53" t="s">
        <v>95</v>
      </c>
      <c r="EC10" s="54">
        <f>IF(EC3="FLEX",7,0)</f>
        <v>0</v>
      </c>
      <c r="ED10" s="22"/>
      <c r="EF10" s="59" t="s">
        <v>30</v>
      </c>
      <c r="EG10" s="60">
        <f>EG8</f>
        <v>0.4</v>
      </c>
      <c r="EH10" s="58" t="s">
        <v>32</v>
      </c>
      <c r="EI10" s="58" t="str">
        <f t="shared" ref="EI10:EI22" si="0">IF($EG$6=1,EM11,IF($EG$6=2,EN11,IF($EG$6=3,EO11,IF($EG$6=4,EP11,IF($EG$6=5,EQ11,IF($EG$6=6,ER11,IF($EG$6=7,ES11,IF($EG$6=8,ET11))))))))</f>
        <v>RIGID</v>
      </c>
      <c r="EJ10" s="58" t="s">
        <v>32</v>
      </c>
      <c r="EK10" s="22"/>
      <c r="EL10" s="58"/>
      <c r="EM10" s="58">
        <v>1</v>
      </c>
      <c r="EN10" s="58">
        <v>2</v>
      </c>
      <c r="EO10" s="58">
        <v>3</v>
      </c>
      <c r="EP10" s="58">
        <v>4</v>
      </c>
      <c r="EQ10" s="58">
        <v>5</v>
      </c>
      <c r="ER10" s="58">
        <v>6</v>
      </c>
      <c r="ES10" s="58">
        <v>7</v>
      </c>
      <c r="ET10" s="58">
        <v>8</v>
      </c>
    </row>
    <row r="11" spans="1:150" ht="12" customHeight="1">
      <c r="A11" s="92"/>
      <c r="B11" s="99"/>
      <c r="C11" s="94"/>
      <c r="D11" s="101" t="str">
        <f>IF(CC12&gt;0,CD12," ")</f>
        <v xml:space="preserve"> </v>
      </c>
      <c r="E11" s="251"/>
      <c r="F11" s="95" t="str">
        <f>IF(CC12&gt;0,"&gt;"," ")</f>
        <v xml:space="preserve"> </v>
      </c>
      <c r="G11" s="95" t="str">
        <f>IF(CC12&gt;0,"&gt;"," ")</f>
        <v xml:space="preserve"> </v>
      </c>
      <c r="H11" s="653">
        <v>0</v>
      </c>
      <c r="I11" s="96"/>
      <c r="J11" s="280" t="s">
        <v>502</v>
      </c>
      <c r="K11" s="94"/>
      <c r="L11" s="94"/>
      <c r="M11" s="94"/>
      <c r="N11" s="97" t="str">
        <f>IF(H8="3D","( HI-LEG )"," ")</f>
        <v xml:space="preserve"> </v>
      </c>
      <c r="O11" s="103" t="str">
        <f>IF(CF14&gt;0,"ERROR",IF(H9&lt;&gt;"CONDUIT",'Sec Cable'!J18,CY55))</f>
        <v>#4</v>
      </c>
      <c r="P11" s="96"/>
      <c r="Q11" s="98"/>
      <c r="BY11" s="130"/>
      <c r="BZ11" s="130"/>
      <c r="CA11" s="131">
        <v>5</v>
      </c>
      <c r="CB11" s="129">
        <f>IF(SUM(CB$7:CB10)=0,CC11,0)</f>
        <v>0</v>
      </c>
      <c r="CC11" s="132">
        <f>IF(H9&lt;&gt;"CONDUIT",0,IF(H10="AUTO",0,IF(H10="FULL",0,IF(AND(H10="NONE",Calcs!X25=0),0,5))))</f>
        <v>0</v>
      </c>
      <c r="CD11" s="133" t="str">
        <f>IF(AND(H10="NONE",Calcs!X25&gt;0),"NEUTRAL LOAD PRESENT","ENTER NEUTRAL SIZE")</f>
        <v>ENTER NEUTRAL SIZE</v>
      </c>
      <c r="CE11" s="133" t="s">
        <v>12</v>
      </c>
      <c r="CF11" s="133"/>
      <c r="CG11" s="133"/>
      <c r="CH11" s="132"/>
      <c r="CI11" s="132"/>
      <c r="CJ11" s="133" t="s">
        <v>872</v>
      </c>
      <c r="CK11" s="133"/>
      <c r="CL11" s="133" t="s">
        <v>478</v>
      </c>
      <c r="CM11" s="133"/>
      <c r="CN11" s="133"/>
      <c r="CO11" s="133"/>
      <c r="CP11" s="133"/>
      <c r="CQ11" s="1"/>
      <c r="CT11" s="1" t="s">
        <v>482</v>
      </c>
      <c r="CU11" s="16">
        <f>SUM(Calcs!F5:L5)</f>
        <v>15300</v>
      </c>
      <c r="CX11" s="61" t="s">
        <v>33</v>
      </c>
      <c r="CY11" s="52" t="str">
        <f>IF(CY10="NONE","N",IF(H8="3Y",CU14,"N"))</f>
        <v>N</v>
      </c>
      <c r="CZ11" s="22">
        <f>IF(CY11="Y",1,IF(CY11="N",0,"ERR"))</f>
        <v>0</v>
      </c>
      <c r="DA11" s="22"/>
      <c r="DB11" s="22"/>
      <c r="DC11" s="22"/>
      <c r="DD11" s="22"/>
      <c r="DE11" s="22"/>
      <c r="DF11" s="22"/>
      <c r="DR11" s="62" t="s">
        <v>34</v>
      </c>
      <c r="DS11" s="62" t="s">
        <v>35</v>
      </c>
      <c r="DU11" s="22"/>
      <c r="DV11" s="22"/>
      <c r="DW11" s="22"/>
      <c r="DX11" s="22"/>
      <c r="DY11" s="22"/>
      <c r="DZ11" s="22"/>
      <c r="EA11" s="22"/>
      <c r="EB11" s="53" t="s">
        <v>100</v>
      </c>
      <c r="EC11" s="54">
        <f>IF(EC3="LT-FLEX",8,0)</f>
        <v>0</v>
      </c>
      <c r="ED11" s="22"/>
      <c r="EF11" s="59" t="s">
        <v>36</v>
      </c>
      <c r="EG11" s="62" t="s">
        <v>37</v>
      </c>
      <c r="EH11" s="62" t="s">
        <v>38</v>
      </c>
      <c r="EI11" s="62" t="str">
        <f t="shared" si="0"/>
        <v>AREA</v>
      </c>
      <c r="EJ11" s="62" t="s">
        <v>38</v>
      </c>
      <c r="EK11" s="22"/>
      <c r="EL11" s="62" t="s">
        <v>38</v>
      </c>
      <c r="EM11" s="62" t="s">
        <v>39</v>
      </c>
      <c r="EN11" s="62" t="s">
        <v>40</v>
      </c>
      <c r="EO11" s="62" t="s">
        <v>41</v>
      </c>
      <c r="EP11" s="62" t="s">
        <v>42</v>
      </c>
      <c r="EQ11" s="62" t="s">
        <v>43</v>
      </c>
      <c r="ER11" s="62" t="s">
        <v>44</v>
      </c>
      <c r="ES11" s="62" t="s">
        <v>45</v>
      </c>
      <c r="ET11" s="62" t="s">
        <v>46</v>
      </c>
    </row>
    <row r="12" spans="1:150" ht="12" customHeight="1">
      <c r="A12" s="92"/>
      <c r="B12" s="99" t="str">
        <f>IF(H9&lt;&gt;"CONDUIT"," ","GND WIRE Y/N")</f>
        <v>GND WIRE Y/N</v>
      </c>
      <c r="C12" s="94"/>
      <c r="D12" s="101" t="str">
        <f>IF(CC13&gt;0,CD13," ")</f>
        <v xml:space="preserve"> </v>
      </c>
      <c r="E12" s="251"/>
      <c r="F12" s="95" t="str">
        <f>IF(CC13&gt;0,"&gt;"," ")</f>
        <v xml:space="preserve"> </v>
      </c>
      <c r="G12" s="95" t="str">
        <f>IF(CC13&gt;0,"&gt;"," ")</f>
        <v xml:space="preserve"> </v>
      </c>
      <c r="H12" s="121" t="s">
        <v>28</v>
      </c>
      <c r="I12" s="96"/>
      <c r="J12" s="280" t="str">
        <f>IF(H8=1," ","WIRE SIZE  L3")</f>
        <v>WIRE SIZE  L3</v>
      </c>
      <c r="K12" s="94"/>
      <c r="L12" s="94"/>
      <c r="M12" s="94"/>
      <c r="N12" s="97"/>
      <c r="O12" s="103" t="str">
        <f>IF(CF14&gt;0,"ERROR",IF(H8=1," ",IF(H9&lt;&gt;"CONDUIT",'Sec Cable'!J18,CY54)))</f>
        <v>#4</v>
      </c>
      <c r="P12" s="96"/>
      <c r="Q12" s="98"/>
      <c r="T12" s="126" t="s">
        <v>479</v>
      </c>
      <c r="W12" s="133" t="s">
        <v>764</v>
      </c>
      <c r="BY12" s="130"/>
      <c r="BZ12" s="130"/>
      <c r="CA12" s="131">
        <v>6</v>
      </c>
      <c r="CB12" s="129">
        <f>IF(SUM(CB$7:CB11)=0,CC12,0)</f>
        <v>0</v>
      </c>
      <c r="CC12" s="132">
        <f>IF(H10&lt;&gt;"AUTO",0,IF(ISBLANK(H11)=TRUE,6,IF(ISNUMBER(H11)=TRUE,IF(H11&lt;0,6,0),6)))</f>
        <v>0</v>
      </c>
      <c r="CD12" s="133" t="s">
        <v>534</v>
      </c>
      <c r="CE12" s="133" t="s">
        <v>12</v>
      </c>
      <c r="CF12" s="134" t="s">
        <v>25</v>
      </c>
      <c r="CG12" s="133"/>
      <c r="CH12" s="132"/>
      <c r="CI12" s="132"/>
      <c r="CJ12" s="133"/>
      <c r="CK12" s="133"/>
      <c r="CL12" s="127" t="str">
        <f>H8</f>
        <v>3Y</v>
      </c>
      <c r="CM12" s="133"/>
      <c r="CN12" s="133"/>
      <c r="CO12" s="133"/>
      <c r="CP12" s="133"/>
      <c r="CQ12" s="1"/>
      <c r="CT12" s="1" t="s">
        <v>483</v>
      </c>
      <c r="CU12" s="1">
        <f>ROUND(CU11/2,0)</f>
        <v>7650</v>
      </c>
      <c r="CX12" s="29" t="s">
        <v>47</v>
      </c>
      <c r="CY12" s="27"/>
      <c r="CZ12" s="22">
        <f>CZ10+CZ11</f>
        <v>4</v>
      </c>
      <c r="DA12" s="22"/>
      <c r="DB12" s="22"/>
      <c r="DC12" s="22"/>
      <c r="DD12" s="22"/>
      <c r="DE12" s="22"/>
      <c r="DF12" s="22"/>
      <c r="DR12" s="62" t="s">
        <v>48</v>
      </c>
      <c r="DS12" s="62" t="s">
        <v>49</v>
      </c>
      <c r="DU12" s="22"/>
      <c r="DV12" s="22"/>
      <c r="DW12" s="22"/>
      <c r="DX12" s="22"/>
      <c r="DY12" s="22"/>
      <c r="DZ12" s="22"/>
      <c r="EA12" s="22"/>
      <c r="EB12" s="189" t="s">
        <v>149</v>
      </c>
      <c r="EC12" s="190">
        <f>MAX(EC4:EC11)</f>
        <v>2</v>
      </c>
      <c r="ED12" s="22"/>
      <c r="EF12" s="59"/>
      <c r="EG12" s="62"/>
      <c r="EH12" s="62"/>
      <c r="EI12" s="62" t="str">
        <f t="shared" si="0"/>
        <v>SQ IN</v>
      </c>
      <c r="EJ12" s="62"/>
      <c r="EK12" s="22"/>
      <c r="EL12" s="62"/>
      <c r="EM12" s="62" t="s">
        <v>50</v>
      </c>
      <c r="EN12" s="62" t="s">
        <v>50</v>
      </c>
      <c r="EO12" s="62" t="s">
        <v>50</v>
      </c>
      <c r="EP12" s="62" t="s">
        <v>50</v>
      </c>
      <c r="EQ12" s="62" t="s">
        <v>50</v>
      </c>
      <c r="ER12" s="62" t="s">
        <v>50</v>
      </c>
      <c r="ES12" s="62" t="s">
        <v>50</v>
      </c>
      <c r="ET12" s="62" t="s">
        <v>50</v>
      </c>
    </row>
    <row r="13" spans="1:150" ht="12" customHeight="1">
      <c r="A13" s="92"/>
      <c r="B13" s="99" t="str">
        <f>IF(H9&lt;&gt;"CONDUIT"," ","WIRE TYPE")</f>
        <v>WIRE TYPE</v>
      </c>
      <c r="C13" s="95"/>
      <c r="D13" s="101" t="str">
        <f>IF(CC14&gt;0,CD14," ")</f>
        <v xml:space="preserve"> </v>
      </c>
      <c r="E13" s="251"/>
      <c r="F13" s="95" t="str">
        <f>IF(CC14&gt;0,"&gt;"," ")</f>
        <v xml:space="preserve"> </v>
      </c>
      <c r="G13" s="95" t="str">
        <f>IF(CC14&gt;0,"&gt;"," ")</f>
        <v xml:space="preserve"> </v>
      </c>
      <c r="H13" s="120" t="s">
        <v>161</v>
      </c>
      <c r="I13" s="96"/>
      <c r="J13" s="280" t="s">
        <v>526</v>
      </c>
      <c r="K13" s="94"/>
      <c r="L13" s="94"/>
      <c r="M13" s="94"/>
      <c r="N13" s="97"/>
      <c r="O13" s="286" t="str">
        <f>IF(CF14&gt;0,"ERROR",IF(H9&lt;&gt;"CONDUIT",'Sec Cable'!J18,CY56))</f>
        <v>#4</v>
      </c>
      <c r="P13" s="96"/>
      <c r="Q13" s="98"/>
      <c r="T13" s="131" t="str">
        <f>CONCATENATE(T10,T11,T12)</f>
        <v>KKK</v>
      </c>
      <c r="W13" s="133" t="s">
        <v>401</v>
      </c>
      <c r="BY13" s="130"/>
      <c r="BZ13" s="130"/>
      <c r="CA13" s="131">
        <v>7</v>
      </c>
      <c r="CB13" s="129">
        <f>IF(SUM(CB$7:CB12)=0,CC13,0)</f>
        <v>0</v>
      </c>
      <c r="CC13" s="132">
        <f>IF(H9&lt;&gt;"CONDUIT",0,IF(ISTEXT(H12)=TRUE,IF(H12="Y",0,IF(H12="N",0,7)),7))</f>
        <v>0</v>
      </c>
      <c r="CD13" s="133" t="s">
        <v>206</v>
      </c>
      <c r="CE13" s="133" t="s">
        <v>12</v>
      </c>
      <c r="CF13" s="135" t="s">
        <v>3</v>
      </c>
      <c r="CG13" s="133"/>
      <c r="CH13" s="132"/>
      <c r="CI13" s="132"/>
      <c r="CJ13" s="133"/>
      <c r="CK13" s="133"/>
      <c r="CL13" s="133">
        <f>IF(CL11=CL12,0,IF(AND(CL11="3Y",CL12=1),0,99))</f>
        <v>0</v>
      </c>
      <c r="CM13" s="133"/>
      <c r="CN13" s="133"/>
      <c r="CO13" s="133"/>
      <c r="CP13" s="133"/>
      <c r="CQ13" s="1"/>
      <c r="CT13" s="1" t="s">
        <v>481</v>
      </c>
      <c r="CU13" s="23">
        <f>AS75</f>
        <v>0</v>
      </c>
      <c r="CX13" s="29"/>
      <c r="CY13" s="27"/>
      <c r="CZ13" s="22"/>
      <c r="DA13" s="22"/>
      <c r="DB13" s="22"/>
      <c r="DC13" s="22"/>
      <c r="DR13" s="62">
        <v>0</v>
      </c>
      <c r="DS13" s="62">
        <v>60</v>
      </c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F13" s="59">
        <v>0</v>
      </c>
      <c r="EG13" s="63">
        <f>EI13*EG$10</f>
        <v>0.12560000000000002</v>
      </c>
      <c r="EH13" s="62">
        <v>0.5</v>
      </c>
      <c r="EI13" s="64">
        <f t="shared" si="0"/>
        <v>0.314</v>
      </c>
      <c r="EJ13" s="62">
        <v>0.5</v>
      </c>
      <c r="EK13" s="22"/>
      <c r="EL13" s="57"/>
      <c r="EM13" s="57" t="s">
        <v>59</v>
      </c>
      <c r="EN13" s="57" t="s">
        <v>59</v>
      </c>
      <c r="EO13" s="57" t="s">
        <v>59</v>
      </c>
      <c r="EP13" s="57" t="s">
        <v>59</v>
      </c>
      <c r="EQ13" s="57" t="s">
        <v>59</v>
      </c>
      <c r="ER13" s="57" t="s">
        <v>59</v>
      </c>
      <c r="ES13" s="57" t="s">
        <v>59</v>
      </c>
      <c r="ET13" s="57" t="s">
        <v>59</v>
      </c>
    </row>
    <row r="14" spans="1:150" ht="12" customHeight="1">
      <c r="A14" s="92"/>
      <c r="B14" s="99" t="s">
        <v>2</v>
      </c>
      <c r="C14" s="95"/>
      <c r="D14" s="101" t="str">
        <f>IF(CC25&gt;0,CD25,IF(CC15&gt;0,CD15," "))</f>
        <v xml:space="preserve"> </v>
      </c>
      <c r="E14" s="251"/>
      <c r="F14" s="95" t="str">
        <f>IF(CC25&gt;0,"&gt;",IF(CC15&gt;0,"&gt;"," "))</f>
        <v xml:space="preserve"> </v>
      </c>
      <c r="G14" s="95" t="str">
        <f>IF(CC25&gt;0,"&gt;",IF(CC15&gt;0,"&gt;"," "))</f>
        <v xml:space="preserve"> </v>
      </c>
      <c r="H14" s="120" t="s">
        <v>77</v>
      </c>
      <c r="I14" s="96"/>
      <c r="J14" s="280" t="s">
        <v>527</v>
      </c>
      <c r="K14" s="94"/>
      <c r="L14" s="94"/>
      <c r="M14" s="94"/>
      <c r="N14" s="94"/>
      <c r="O14" s="287" t="str">
        <f>IF(CF14&gt;0,"ERROR",IF(H9&lt;&gt;"CONDUIT",'Sec Cable'!K18,CY81))</f>
        <v>#8</v>
      </c>
      <c r="P14" s="96"/>
      <c r="Q14" s="98"/>
      <c r="W14" s="133" t="str">
        <f>IF(H8&lt;&gt;1,"3-PHASE","1-PHASE")</f>
        <v>3-PHASE</v>
      </c>
      <c r="BY14" s="136">
        <f>H5</f>
        <v>84</v>
      </c>
      <c r="BZ14" s="130"/>
      <c r="CA14" s="131">
        <v>8</v>
      </c>
      <c r="CB14" s="129">
        <f>IF(SUM(CB$7:CB13)=0,CC14,0)</f>
        <v>0</v>
      </c>
      <c r="CC14" s="132">
        <f>IF(H9&lt;&gt;"CONDUIT",0,IF(H13="THW",0,IF(H13="RHW",0,IF(H13="THHN",0,IF(H13="XHHW",0,IF(H13="THW-CA",0,IF(H13="THHN-CA",0,IF(H13="XHHW-CA",0,8))))))))</f>
        <v>0</v>
      </c>
      <c r="CD14" s="133" t="s">
        <v>207</v>
      </c>
      <c r="CE14" s="133" t="s">
        <v>12</v>
      </c>
      <c r="CF14" s="279">
        <f>IF(SUM(CC8:CC9)&gt;0,1,CB36+CB81+CE81+CB125+CE125+CH81+CH125)</f>
        <v>0</v>
      </c>
      <c r="CG14" s="127">
        <f>Calcs!V4</f>
        <v>0</v>
      </c>
      <c r="CH14" s="129">
        <f>CF14+CG14</f>
        <v>0</v>
      </c>
      <c r="CJ14" s="133"/>
      <c r="CK14" s="133"/>
      <c r="CL14" s="133"/>
      <c r="CM14" s="133"/>
      <c r="CN14" s="133"/>
      <c r="CO14" s="133"/>
      <c r="CP14" s="133"/>
      <c r="CQ14" s="1"/>
      <c r="CU14" s="22" t="str">
        <f>IF(CU11=0,"N",IF(CU13&lt;CU12,"N","Y"))</f>
        <v>N</v>
      </c>
      <c r="CX14" s="24"/>
      <c r="CY14" s="24"/>
      <c r="CZ14" s="22"/>
      <c r="DA14" s="22"/>
      <c r="DB14" s="22"/>
      <c r="DC14" s="22"/>
      <c r="DR14" s="62">
        <f t="shared" ref="DR14:DR34" si="1">DS13+0.00001</f>
        <v>60.000010000000003</v>
      </c>
      <c r="DS14" s="62">
        <v>70</v>
      </c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F14" s="59">
        <f t="shared" ref="EF14:EF22" si="2">EG13+0.0000000001</f>
        <v>0.12560000010000003</v>
      </c>
      <c r="EG14" s="63">
        <f t="shared" ref="EG14:EG22" si="3">EI14*EG$10</f>
        <v>0.21960000000000002</v>
      </c>
      <c r="EH14" s="62">
        <v>0.75</v>
      </c>
      <c r="EI14" s="64">
        <f t="shared" si="0"/>
        <v>0.54900000000000004</v>
      </c>
      <c r="EJ14" s="62">
        <v>0.75</v>
      </c>
      <c r="EK14" s="22"/>
      <c r="EL14" s="62">
        <v>0.5</v>
      </c>
      <c r="EM14" s="64">
        <v>0.28499999999999998</v>
      </c>
      <c r="EN14" s="64">
        <v>0.314</v>
      </c>
      <c r="EO14" s="64">
        <v>0.30399999999999999</v>
      </c>
      <c r="EP14" s="64">
        <v>0.34200000000000003</v>
      </c>
      <c r="EQ14" s="64">
        <v>0.28499999999999998</v>
      </c>
      <c r="ER14" s="64">
        <v>0.30399999999999999</v>
      </c>
      <c r="ES14" s="64">
        <v>0.317</v>
      </c>
      <c r="ET14" s="64">
        <v>0.314</v>
      </c>
    </row>
    <row r="15" spans="1:150" ht="12" customHeight="1">
      <c r="A15" s="92"/>
      <c r="B15" s="99" t="s">
        <v>904</v>
      </c>
      <c r="C15" s="95"/>
      <c r="D15" s="101" t="str">
        <f>IF(CC16&gt;0,CD16," ")</f>
        <v xml:space="preserve"> </v>
      </c>
      <c r="E15" s="251"/>
      <c r="F15" s="95" t="str">
        <f t="shared" ref="F15:F23" si="4">IF(CC16&gt;0,"&gt;"," ")</f>
        <v xml:space="preserve"> </v>
      </c>
      <c r="G15" s="95" t="str">
        <f t="shared" ref="G15:G23" si="5">IF(CC16&gt;0,"&gt;"," ")</f>
        <v xml:space="preserve"> </v>
      </c>
      <c r="H15" s="663">
        <v>75</v>
      </c>
      <c r="I15" s="96"/>
      <c r="J15" s="676" t="s">
        <v>834</v>
      </c>
      <c r="K15" s="677"/>
      <c r="L15" s="677"/>
      <c r="M15" s="677"/>
      <c r="N15" s="677" t="str">
        <f>IF(O15="NONE"," ",IF(CC34&gt;0,CD34,IF(AND(O15="1-PHASE",H8&lt;&gt;"3D"),"( CIRCUITS 1 &amp; 2 )",IF(AND(O15="1-PHASE",H8="3D"),"( CIRCUITS 1 &amp; 3 )","( CIRCUITS 1, 3, 5 )"))))</f>
        <v xml:space="preserve"> </v>
      </c>
      <c r="O15" s="653" t="s">
        <v>764</v>
      </c>
      <c r="P15" s="96"/>
      <c r="Q15" s="98"/>
      <c r="BY15" s="130"/>
      <c r="BZ15" s="130"/>
      <c r="CA15" s="131">
        <v>9</v>
      </c>
      <c r="CB15" s="129">
        <f>IF(SUM(CB$7:CB14)=0,CC15,0)</f>
        <v>0</v>
      </c>
      <c r="CC15" s="132">
        <f>IF(CH1&gt;0,0,IF(AND(H9="ROMEX",H14="AL"),9,IF(AND(H9="SER",H8="3Y",H14="CU",CC30&lt;&gt;24),44,IF(H14="CU",0,IF(H14="AL",0,9)))))</f>
        <v>0</v>
      </c>
      <c r="CD15" s="133" t="str">
        <f>IF(AND(H9="ROMEX",H14="AL"),"USE CU ON ROMEX",IF(AND(H9="SER",H8="3Y",H14="CU",CC30&lt;&gt;24),"CHECK ENTRY","ENTER WIRE CU/AL"))</f>
        <v>ENTER WIRE CU/AL</v>
      </c>
      <c r="CE15" s="133" t="s">
        <v>12</v>
      </c>
      <c r="CF15" s="133"/>
      <c r="CG15" s="133"/>
      <c r="CH15" s="132"/>
      <c r="CI15" s="132"/>
      <c r="CJ15" s="133"/>
      <c r="CK15" s="133"/>
      <c r="CL15" s="133"/>
      <c r="CM15" s="133"/>
      <c r="CN15" s="133"/>
      <c r="CO15" s="133"/>
      <c r="CP15" s="133"/>
      <c r="CQ15" s="1"/>
      <c r="CX15" s="65" t="s">
        <v>30</v>
      </c>
      <c r="CY15" s="24"/>
      <c r="CZ15" s="22"/>
      <c r="DA15" s="65" t="s">
        <v>66</v>
      </c>
      <c r="DB15" s="65" t="s">
        <v>67</v>
      </c>
      <c r="DC15" s="58" t="s">
        <v>68</v>
      </c>
      <c r="DD15" s="58" t="s">
        <v>68</v>
      </c>
      <c r="DE15" s="58" t="s">
        <v>68</v>
      </c>
      <c r="DF15" s="58" t="s">
        <v>69</v>
      </c>
      <c r="DG15" s="58" t="s">
        <v>70</v>
      </c>
      <c r="DH15" s="58" t="s">
        <v>71</v>
      </c>
      <c r="DJ15" s="24" t="s">
        <v>72</v>
      </c>
      <c r="DR15" s="62">
        <f t="shared" si="1"/>
        <v>70.000010000000003</v>
      </c>
      <c r="DS15" s="62">
        <v>80</v>
      </c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F15" s="59">
        <f t="shared" si="2"/>
        <v>0.21960000010000003</v>
      </c>
      <c r="EG15" s="63">
        <f t="shared" si="3"/>
        <v>0.35520000000000002</v>
      </c>
      <c r="EH15" s="62">
        <v>1</v>
      </c>
      <c r="EI15" s="64">
        <f t="shared" si="0"/>
        <v>0.88800000000000001</v>
      </c>
      <c r="EJ15" s="62">
        <v>1</v>
      </c>
      <c r="EK15" s="22"/>
      <c r="EL15" s="62">
        <v>0.75</v>
      </c>
      <c r="EM15" s="64">
        <v>0.50800000000000001</v>
      </c>
      <c r="EN15" s="64">
        <v>0.54900000000000004</v>
      </c>
      <c r="EO15" s="64">
        <v>0.53300000000000003</v>
      </c>
      <c r="EP15" s="64">
        <v>0.58599999999999997</v>
      </c>
      <c r="EQ15" s="64">
        <v>0.50800000000000001</v>
      </c>
      <c r="ER15" s="64">
        <v>0.53300000000000003</v>
      </c>
      <c r="ES15" s="64">
        <v>0.53300000000000003</v>
      </c>
      <c r="ET15" s="64">
        <v>0.54100000000000004</v>
      </c>
    </row>
    <row r="16" spans="1:150" ht="12" customHeight="1">
      <c r="A16" s="92"/>
      <c r="B16" s="99" t="s">
        <v>11</v>
      </c>
      <c r="C16" s="95"/>
      <c r="D16" s="101" t="str">
        <f>IF(CC17&gt;0,CD17," ")</f>
        <v xml:space="preserve"> </v>
      </c>
      <c r="E16" s="251"/>
      <c r="F16" s="95" t="str">
        <f t="shared" si="4"/>
        <v xml:space="preserve"> </v>
      </c>
      <c r="G16" s="95" t="str">
        <f t="shared" si="5"/>
        <v xml:space="preserve"> </v>
      </c>
      <c r="H16" s="122">
        <v>10</v>
      </c>
      <c r="I16" s="96"/>
      <c r="J16" s="547" t="str">
        <f>IF(S16&gt;0,"ERROR IN SUB PANEL"," ")</f>
        <v xml:space="preserve"> </v>
      </c>
      <c r="K16" s="94"/>
      <c r="L16" s="94"/>
      <c r="M16" s="94"/>
      <c r="N16" s="94"/>
      <c r="O16" s="94"/>
      <c r="P16" s="96"/>
      <c r="Q16" s="98"/>
      <c r="S16" s="16">
        <f>Calcs!V4</f>
        <v>0</v>
      </c>
      <c r="BY16" s="130"/>
      <c r="BZ16" s="130"/>
      <c r="CA16" s="131">
        <v>10</v>
      </c>
      <c r="CB16" s="129">
        <f>IF(SUM(CB$7:CB15)=0,CC16,0)</f>
        <v>0</v>
      </c>
      <c r="CC16" s="612">
        <f>IF(AND(H9="ROMEX",OR(H15=75,H15=90)),10,IF(H15=60,0,IF(H15=75,0,IF(H15=90,0,10))))</f>
        <v>0</v>
      </c>
      <c r="CD16" s="516" t="str">
        <f>IF(AND(H9="ROMEX",OR(H15=75,H15=90)),"USE 60º C - PER NEC 334.80","ENTER WIRE TEMP")</f>
        <v>ENTER WIRE TEMP</v>
      </c>
      <c r="CE16" s="133" t="s">
        <v>12</v>
      </c>
      <c r="CF16" s="133"/>
      <c r="CG16" s="133"/>
      <c r="CH16" s="132"/>
      <c r="CI16" s="132"/>
      <c r="CJ16" s="133"/>
      <c r="CK16" s="133"/>
      <c r="CL16" s="133"/>
      <c r="CM16" s="133"/>
      <c r="CN16" s="133"/>
      <c r="CO16" s="133"/>
      <c r="CP16" s="133"/>
      <c r="CQ16" s="1"/>
      <c r="CX16" s="66" t="s">
        <v>68</v>
      </c>
      <c r="CY16" s="24"/>
      <c r="CZ16" s="22"/>
      <c r="DA16" s="66" t="s">
        <v>68</v>
      </c>
      <c r="DB16" s="66" t="s">
        <v>68</v>
      </c>
      <c r="DC16" s="62" t="s">
        <v>38</v>
      </c>
      <c r="DD16" s="62" t="s">
        <v>38</v>
      </c>
      <c r="DE16" s="62" t="s">
        <v>73</v>
      </c>
      <c r="DF16" s="62" t="s">
        <v>48</v>
      </c>
      <c r="DG16" s="62" t="s">
        <v>48</v>
      </c>
      <c r="DH16" s="62" t="s">
        <v>48</v>
      </c>
      <c r="DJ16" s="58" t="s">
        <v>68</v>
      </c>
      <c r="DK16" s="58" t="s">
        <v>69</v>
      </c>
      <c r="DL16" s="58" t="s">
        <v>70</v>
      </c>
      <c r="DM16" s="58" t="s">
        <v>71</v>
      </c>
      <c r="DN16" s="58" t="s">
        <v>69</v>
      </c>
      <c r="DO16" s="58" t="s">
        <v>70</v>
      </c>
      <c r="DP16" s="58" t="s">
        <v>71</v>
      </c>
      <c r="DR16" s="62">
        <f t="shared" si="1"/>
        <v>80.000010000000003</v>
      </c>
      <c r="DS16" s="62">
        <v>90</v>
      </c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F16" s="59">
        <f t="shared" si="2"/>
        <v>0.35520000010000002</v>
      </c>
      <c r="EG16" s="63">
        <f t="shared" si="3"/>
        <v>0.61040000000000005</v>
      </c>
      <c r="EH16" s="62">
        <v>1.25</v>
      </c>
      <c r="EI16" s="64">
        <f t="shared" si="0"/>
        <v>1.526</v>
      </c>
      <c r="EJ16" s="62">
        <v>1.25</v>
      </c>
      <c r="EK16" s="22"/>
      <c r="EL16" s="62">
        <v>1</v>
      </c>
      <c r="EM16" s="64">
        <v>0.81699999999999995</v>
      </c>
      <c r="EN16" s="64">
        <v>0.88800000000000001</v>
      </c>
      <c r="EO16" s="64">
        <v>0.86399999999999999</v>
      </c>
      <c r="EP16" s="64">
        <v>0.95899999999999996</v>
      </c>
      <c r="EQ16" s="64">
        <v>0.83199999999999996</v>
      </c>
      <c r="ER16" s="64">
        <v>0.86399999999999999</v>
      </c>
      <c r="ES16" s="64">
        <v>0.81699999999999995</v>
      </c>
      <c r="ET16" s="64">
        <v>0.872</v>
      </c>
    </row>
    <row r="17" spans="1:150" ht="12" customHeight="1">
      <c r="A17" s="92"/>
      <c r="B17" s="99" t="str">
        <f>IF(H9&lt;&gt;"CONDUIT"," ","CONDUIT TYPE")</f>
        <v>CONDUIT TYPE</v>
      </c>
      <c r="C17" s="95"/>
      <c r="D17" s="101" t="str">
        <f>IF(CC18&gt;0,CD18," ")</f>
        <v xml:space="preserve"> </v>
      </c>
      <c r="E17" s="251"/>
      <c r="F17" s="95" t="str">
        <f t="shared" si="4"/>
        <v xml:space="preserve"> </v>
      </c>
      <c r="G17" s="95" t="str">
        <f t="shared" si="5"/>
        <v xml:space="preserve"> </v>
      </c>
      <c r="H17" s="121" t="s">
        <v>40</v>
      </c>
      <c r="I17" s="96"/>
      <c r="J17" s="659"/>
      <c r="K17" s="94"/>
      <c r="L17" s="94"/>
      <c r="M17" s="94"/>
      <c r="N17" s="94"/>
      <c r="O17" s="654"/>
      <c r="P17" s="96"/>
      <c r="Q17" s="98"/>
      <c r="BY17" s="130"/>
      <c r="BZ17" s="130"/>
      <c r="CA17" s="131">
        <v>11</v>
      </c>
      <c r="CB17" s="129">
        <f>IF(SUM(CB$7:CB16)=0,CC17,0)</f>
        <v>0</v>
      </c>
      <c r="CC17" s="132">
        <f>IF(ISNUMBER(H16)=TRUE,IF(SUM(H16)&gt;0,0,11),11)</f>
        <v>0</v>
      </c>
      <c r="CD17" s="133" t="s">
        <v>210</v>
      </c>
      <c r="CE17" s="133" t="s">
        <v>12</v>
      </c>
      <c r="CF17" s="133"/>
      <c r="CG17" s="133"/>
      <c r="CH17" s="132"/>
      <c r="CI17" s="132"/>
      <c r="CJ17" s="133"/>
      <c r="CK17" s="133"/>
      <c r="CL17" s="133"/>
      <c r="CM17" s="133"/>
      <c r="CN17" s="133"/>
      <c r="CO17" s="133"/>
      <c r="CP17" s="133"/>
      <c r="CQ17" s="1"/>
      <c r="CX17" s="66" t="s">
        <v>48</v>
      </c>
      <c r="CY17" s="24"/>
      <c r="CZ17" s="22"/>
      <c r="DA17" s="66" t="s">
        <v>48</v>
      </c>
      <c r="DB17" s="66" t="s">
        <v>48</v>
      </c>
      <c r="DC17" s="62" t="s">
        <v>74</v>
      </c>
      <c r="DD17" s="62" t="s">
        <v>7</v>
      </c>
      <c r="DE17" s="62" t="s">
        <v>21</v>
      </c>
      <c r="DF17" s="62" t="str">
        <f t="shared" ref="DF17:DH31" si="6">IF($CY$6="CU",DK18,IF($CY$6="AL",DN18,"ERR"))</f>
        <v>AL</v>
      </c>
      <c r="DG17" s="62" t="str">
        <f t="shared" si="6"/>
        <v>AL</v>
      </c>
      <c r="DH17" s="62" t="str">
        <f t="shared" si="6"/>
        <v>AL</v>
      </c>
      <c r="DJ17" s="62" t="s">
        <v>38</v>
      </c>
      <c r="DK17" s="62" t="s">
        <v>48</v>
      </c>
      <c r="DL17" s="62" t="s">
        <v>48</v>
      </c>
      <c r="DM17" s="62" t="s">
        <v>48</v>
      </c>
      <c r="DN17" s="62" t="s">
        <v>48</v>
      </c>
      <c r="DO17" s="62" t="s">
        <v>48</v>
      </c>
      <c r="DP17" s="62" t="s">
        <v>48</v>
      </c>
      <c r="DR17" s="62">
        <f t="shared" si="1"/>
        <v>90.000010000000003</v>
      </c>
      <c r="DS17" s="62">
        <v>100</v>
      </c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F17" s="59">
        <f t="shared" si="2"/>
        <v>0.61040000010000006</v>
      </c>
      <c r="EG17" s="63">
        <f t="shared" si="3"/>
        <v>0.82840000000000014</v>
      </c>
      <c r="EH17" s="62">
        <v>1.5</v>
      </c>
      <c r="EI17" s="64">
        <f t="shared" si="0"/>
        <v>2.0710000000000002</v>
      </c>
      <c r="EJ17" s="62">
        <v>1.5</v>
      </c>
      <c r="EK17" s="22"/>
      <c r="EL17" s="62">
        <v>1.25</v>
      </c>
      <c r="EM17" s="64">
        <v>1.2769999999999999</v>
      </c>
      <c r="EN17" s="64">
        <v>1.526</v>
      </c>
      <c r="EO17" s="64">
        <v>1.496</v>
      </c>
      <c r="EP17" s="64">
        <v>1.6459999999999999</v>
      </c>
      <c r="EQ17" s="64">
        <v>1.4530000000000001</v>
      </c>
      <c r="ER17" s="64">
        <v>1.4950000000000001</v>
      </c>
      <c r="ES17" s="64">
        <v>1.2769999999999999</v>
      </c>
      <c r="ET17" s="64">
        <v>1.528</v>
      </c>
    </row>
    <row r="18" spans="1:150" ht="12" customHeight="1">
      <c r="A18" s="92"/>
      <c r="B18" s="99" t="s">
        <v>22</v>
      </c>
      <c r="C18" s="95"/>
      <c r="D18" s="101" t="str">
        <f>IF(CC19&gt;0,CD19,IF(AND($H$8="3D",$H$9="AUTO"),"( L1 &amp; L3 )"," "))</f>
        <v xml:space="preserve"> </v>
      </c>
      <c r="E18" s="251"/>
      <c r="F18" s="95" t="str">
        <f t="shared" si="4"/>
        <v xml:space="preserve"> </v>
      </c>
      <c r="G18" s="95" t="str">
        <f t="shared" si="5"/>
        <v xml:space="preserve"> </v>
      </c>
      <c r="H18" s="120">
        <v>0</v>
      </c>
      <c r="I18" s="96"/>
      <c r="J18" s="659"/>
      <c r="K18" s="94"/>
      <c r="L18" s="94"/>
      <c r="M18" s="94"/>
      <c r="N18" s="94"/>
      <c r="O18" s="94"/>
      <c r="P18" s="96"/>
      <c r="Q18" s="98"/>
      <c r="BY18" s="130"/>
      <c r="BZ18" s="130"/>
      <c r="CA18" s="131">
        <v>12</v>
      </c>
      <c r="CB18" s="129">
        <f>IF(SUM(CB$7:CB17)=0,CC18,0)</f>
        <v>0</v>
      </c>
      <c r="CC18" s="132">
        <f>IF(H9&lt;&gt;"CONDUIT",0,IF(SUM(CE18:CF18)=0,12,0))</f>
        <v>0</v>
      </c>
      <c r="CD18" s="133" t="s">
        <v>211</v>
      </c>
      <c r="CE18" s="133">
        <f>IF(ISTEXT(H17)=TRUE,IF(H17="GENERAL",1,IF(H17="RIGID",1,IF(H17="EMT",1,IF(H17="IMC",1,IF(H17="PVC-40",1,IF(H17="RIGID/PVC",1,IF(H17="FLEX",1,0))))))),0)</f>
        <v>1</v>
      </c>
      <c r="CF18" s="133">
        <f>IF(CE18=0,IF(ISTEXT(H17)=TRUE,IF(CE18&gt;0,CE18,IF(H17="LT-FLEX",1,0)),0),0)</f>
        <v>0</v>
      </c>
      <c r="CG18" s="133"/>
      <c r="CH18" s="132"/>
      <c r="CI18" s="132"/>
      <c r="CJ18" s="133"/>
      <c r="CK18" s="133"/>
      <c r="CL18" s="133"/>
      <c r="CM18" s="133"/>
      <c r="CN18" s="133"/>
      <c r="CO18" s="133"/>
      <c r="CP18" s="133"/>
      <c r="CQ18" s="1"/>
      <c r="CX18" s="58">
        <v>0</v>
      </c>
      <c r="CY18" s="24"/>
      <c r="CZ18" s="22"/>
      <c r="DA18" s="58">
        <f t="shared" ref="DA18:DA49" si="7">IF($CZ$12=3,DB18,IF($CZ$12=4,DB18,IF($CZ$12=5,(DB18*0.8),"ERR")))</f>
        <v>50</v>
      </c>
      <c r="DB18" s="58">
        <f t="shared" ref="DB18:DB31" si="8">IF($CY$7=60,DF18,IF($CY$7=75,DG18,IF($CY$7=90,DH18,"ERR")))</f>
        <v>50</v>
      </c>
      <c r="DC18" s="58" t="s">
        <v>76</v>
      </c>
      <c r="DD18" s="58">
        <v>5</v>
      </c>
      <c r="DE18" s="58">
        <v>1</v>
      </c>
      <c r="DF18" s="58">
        <f t="shared" si="6"/>
        <v>40</v>
      </c>
      <c r="DG18" s="58">
        <f t="shared" si="6"/>
        <v>50</v>
      </c>
      <c r="DH18" s="58">
        <f t="shared" si="6"/>
        <v>60</v>
      </c>
      <c r="DJ18" s="62" t="s">
        <v>74</v>
      </c>
      <c r="DK18" s="62" t="s">
        <v>60</v>
      </c>
      <c r="DL18" s="62" t="s">
        <v>60</v>
      </c>
      <c r="DM18" s="62" t="s">
        <v>60</v>
      </c>
      <c r="DN18" s="62" t="s">
        <v>77</v>
      </c>
      <c r="DO18" s="62" t="s">
        <v>77</v>
      </c>
      <c r="DP18" s="62" t="s">
        <v>77</v>
      </c>
      <c r="DR18" s="62">
        <f t="shared" si="1"/>
        <v>100.00001</v>
      </c>
      <c r="DS18" s="62">
        <v>110</v>
      </c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F18" s="59">
        <f t="shared" si="2"/>
        <v>0.82840000010000014</v>
      </c>
      <c r="EG18" s="63">
        <f t="shared" si="3"/>
        <v>1.3632</v>
      </c>
      <c r="EH18" s="62">
        <v>2</v>
      </c>
      <c r="EI18" s="64">
        <f t="shared" si="0"/>
        <v>3.4079999999999999</v>
      </c>
      <c r="EJ18" s="62">
        <v>2</v>
      </c>
      <c r="EK18" s="22"/>
      <c r="EL18" s="62">
        <v>1.5</v>
      </c>
      <c r="EM18" s="64">
        <v>1.857</v>
      </c>
      <c r="EN18" s="64">
        <v>2.0710000000000002</v>
      </c>
      <c r="EO18" s="64">
        <v>2.036</v>
      </c>
      <c r="EP18" s="64">
        <v>2.2229999999999999</v>
      </c>
      <c r="EQ18" s="64">
        <v>1.986</v>
      </c>
      <c r="ER18" s="64">
        <v>2.036</v>
      </c>
      <c r="ES18" s="64">
        <v>1.857</v>
      </c>
      <c r="ET18" s="64">
        <v>1.9790000000000001</v>
      </c>
    </row>
    <row r="19" spans="1:150" ht="12" customHeight="1">
      <c r="A19" s="92"/>
      <c r="B19" s="99"/>
      <c r="C19" s="95"/>
      <c r="D19" s="101"/>
      <c r="E19" s="251"/>
      <c r="F19" s="95"/>
      <c r="G19" s="95"/>
      <c r="H19" s="102"/>
      <c r="I19" s="96"/>
      <c r="J19" s="659"/>
      <c r="K19" s="94"/>
      <c r="L19" s="94"/>
      <c r="M19" s="664"/>
      <c r="N19" s="664"/>
      <c r="O19" s="94"/>
      <c r="P19" s="96"/>
      <c r="Q19" s="98"/>
      <c r="BY19" s="130"/>
      <c r="BZ19" s="130"/>
      <c r="CA19" s="131">
        <v>13</v>
      </c>
      <c r="CB19" s="129">
        <f>IF(SUM(CB$7:CB18)=0,CC19,0)</f>
        <v>0</v>
      </c>
      <c r="CC19" s="132">
        <f>IF(CH1&gt;0,0,IF(ISBLANK(H18)=TRUE,13,IF(H18&lt;0,13,IF(AND(S4&gt;0,CC30&lt;&gt;24),43,0))))</f>
        <v>0</v>
      </c>
      <c r="CD19" s="133" t="str">
        <f>IF(AND($H$8="3D",$H$9="AUTO"),"ENTER MIN AMPS ( L1 &amp; L3 )",IF(S4&gt;0,"CHECK ENTRY","ENTER MINI AMPS"))</f>
        <v>ENTER MINI AMPS</v>
      </c>
      <c r="CE19" s="132"/>
      <c r="CF19" s="133"/>
      <c r="CG19" s="133"/>
      <c r="CH19" s="132"/>
      <c r="CI19" s="132"/>
      <c r="CJ19" s="133"/>
      <c r="CK19" s="133"/>
      <c r="CL19" s="133"/>
      <c r="CM19" s="133"/>
      <c r="CN19" s="133"/>
      <c r="CO19" s="133"/>
      <c r="CP19" s="133"/>
      <c r="CQ19" s="1"/>
      <c r="CX19" s="62">
        <f t="shared" ref="CX19:CX49" si="9">DA18+0.00001</f>
        <v>50.000010000000003</v>
      </c>
      <c r="CY19" s="24"/>
      <c r="CZ19" s="22"/>
      <c r="DA19" s="62">
        <f t="shared" si="7"/>
        <v>65</v>
      </c>
      <c r="DB19" s="62">
        <f t="shared" si="8"/>
        <v>65</v>
      </c>
      <c r="DC19" s="62" t="s">
        <v>80</v>
      </c>
      <c r="DD19" s="62">
        <v>6</v>
      </c>
      <c r="DE19" s="62">
        <v>1</v>
      </c>
      <c r="DF19" s="62">
        <f t="shared" si="6"/>
        <v>55</v>
      </c>
      <c r="DG19" s="62">
        <f t="shared" si="6"/>
        <v>65</v>
      </c>
      <c r="DH19" s="62">
        <f t="shared" si="6"/>
        <v>75</v>
      </c>
      <c r="DJ19" s="58" t="s">
        <v>76</v>
      </c>
      <c r="DK19" s="58">
        <v>55</v>
      </c>
      <c r="DL19" s="58">
        <v>65</v>
      </c>
      <c r="DM19" s="58">
        <v>75</v>
      </c>
      <c r="DN19" s="58">
        <v>40</v>
      </c>
      <c r="DO19" s="58">
        <v>50</v>
      </c>
      <c r="DP19" s="58">
        <v>60</v>
      </c>
      <c r="DR19" s="62">
        <f t="shared" si="1"/>
        <v>110.00001</v>
      </c>
      <c r="DS19" s="62">
        <v>125</v>
      </c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F19" s="59">
        <f t="shared" si="2"/>
        <v>1.3632000001</v>
      </c>
      <c r="EG19" s="63">
        <f t="shared" si="3"/>
        <v>1.9463999999999999</v>
      </c>
      <c r="EH19" s="62">
        <v>2.5</v>
      </c>
      <c r="EI19" s="64">
        <f t="shared" si="0"/>
        <v>4.8659999999999997</v>
      </c>
      <c r="EJ19" s="62">
        <v>2.5</v>
      </c>
      <c r="EK19" s="22"/>
      <c r="EL19" s="62">
        <v>2</v>
      </c>
      <c r="EM19" s="64">
        <v>3.2450000000000001</v>
      </c>
      <c r="EN19" s="64">
        <v>3.4079999999999999</v>
      </c>
      <c r="EO19" s="64">
        <v>3.3559999999999999</v>
      </c>
      <c r="EP19" s="64">
        <v>3.629</v>
      </c>
      <c r="EQ19" s="64">
        <v>3.2909999999999999</v>
      </c>
      <c r="ER19" s="64">
        <v>3.355</v>
      </c>
      <c r="ES19" s="64">
        <v>3.2690000000000001</v>
      </c>
      <c r="ET19" s="64">
        <v>3.2450000000000001</v>
      </c>
    </row>
    <row r="20" spans="1:150" ht="12" customHeight="1">
      <c r="A20" s="92"/>
      <c r="B20" s="99" t="s">
        <v>564</v>
      </c>
      <c r="C20" s="95"/>
      <c r="D20" s="101" t="str">
        <f>IF(CC21&gt;0,"ENTER # OF KITCHEN LOADS"," ")</f>
        <v xml:space="preserve"> </v>
      </c>
      <c r="E20" s="251"/>
      <c r="F20" s="95" t="str">
        <f t="shared" si="4"/>
        <v xml:space="preserve"> </v>
      </c>
      <c r="G20" s="95" t="str">
        <f t="shared" si="5"/>
        <v xml:space="preserve"> </v>
      </c>
      <c r="H20" s="120">
        <v>0</v>
      </c>
      <c r="I20" s="96"/>
      <c r="J20" s="659"/>
      <c r="K20" s="94"/>
      <c r="L20" s="94"/>
      <c r="M20" s="665"/>
      <c r="N20" s="665" t="s">
        <v>977</v>
      </c>
      <c r="O20" s="94"/>
      <c r="P20" s="96"/>
      <c r="Q20" s="98"/>
      <c r="BY20" s="130"/>
      <c r="BZ20" s="130"/>
      <c r="CA20" s="131">
        <v>14</v>
      </c>
      <c r="CB20" s="129">
        <f>IF(SUM(CB$7:CB19)=0,CC20,0)</f>
        <v>0</v>
      </c>
      <c r="CC20" s="132">
        <v>0</v>
      </c>
      <c r="CD20" s="133" t="str">
        <f>IF(H19&gt;H18,"MAY NOT EXCEED ( L1 &amp; L3 )","ENTER MIN AMPS (L2)")</f>
        <v>ENTER MIN AMPS (L2)</v>
      </c>
      <c r="CE20" s="132"/>
      <c r="CF20" s="133"/>
      <c r="CG20" s="133"/>
      <c r="CH20" s="132"/>
      <c r="CI20" s="132"/>
      <c r="CJ20" s="133"/>
      <c r="CK20" s="133"/>
      <c r="CL20" s="133"/>
      <c r="CM20" s="133"/>
      <c r="CN20" s="133"/>
      <c r="CO20" s="133"/>
      <c r="CP20" s="133"/>
      <c r="CQ20" s="1"/>
      <c r="CX20" s="62">
        <f t="shared" si="9"/>
        <v>65.000010000000003</v>
      </c>
      <c r="CY20" s="24"/>
      <c r="CZ20" s="22"/>
      <c r="DA20" s="62">
        <f t="shared" si="7"/>
        <v>75</v>
      </c>
      <c r="DB20" s="62">
        <f t="shared" si="8"/>
        <v>75</v>
      </c>
      <c r="DC20" s="62" t="str">
        <f>IF(CY6="AL",DC19,"#3")</f>
        <v>#4</v>
      </c>
      <c r="DD20" s="62">
        <f>IF(CY6="AL",DD19,7)</f>
        <v>6</v>
      </c>
      <c r="DE20" s="62">
        <f>IF(CY6="AL",DE19,1)</f>
        <v>1</v>
      </c>
      <c r="DF20" s="62">
        <f>IF($CY$6="CU",DK21,IF($CY$6="AL",DN21,"ERR"))</f>
        <v>65</v>
      </c>
      <c r="DG20" s="62">
        <f>IF($CY$6="CU",DL21,IF($CY$6="AL",DO21,"ERR"))</f>
        <v>75</v>
      </c>
      <c r="DH20" s="62">
        <f>IF($CY$6="CU",DM21,IF($CY$6="AL",DP21,"ERR"))</f>
        <v>85</v>
      </c>
      <c r="DJ20" s="62" t="s">
        <v>80</v>
      </c>
      <c r="DK20" s="62">
        <v>70</v>
      </c>
      <c r="DL20" s="62">
        <v>85</v>
      </c>
      <c r="DM20" s="62">
        <v>95</v>
      </c>
      <c r="DN20" s="62">
        <v>55</v>
      </c>
      <c r="DO20" s="62">
        <v>65</v>
      </c>
      <c r="DP20" s="62">
        <v>75</v>
      </c>
      <c r="DR20" s="62">
        <f t="shared" si="1"/>
        <v>125.00001</v>
      </c>
      <c r="DS20" s="62">
        <v>150</v>
      </c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F20" s="59">
        <f t="shared" si="2"/>
        <v>1.9464000000999999</v>
      </c>
      <c r="EG20" s="63">
        <f t="shared" si="3"/>
        <v>2.9996</v>
      </c>
      <c r="EH20" s="62">
        <v>3</v>
      </c>
      <c r="EI20" s="64">
        <f>IF($EG$6=1,EM21,IF($EG$6=2,EN21,IF($EG$6=3,EO21,IF($EG$6=4,EP21,IF($EG$6=5,EQ21,IF($EG$6=6,ER21,IF($EG$6=7,ES21,IF($EG$6=8,ET21))))))))</f>
        <v>7.4989999999999997</v>
      </c>
      <c r="EJ20" s="62">
        <v>3</v>
      </c>
      <c r="EK20" s="22"/>
      <c r="EL20" s="62">
        <v>2.5</v>
      </c>
      <c r="EM20" s="64">
        <v>4.6950000000000003</v>
      </c>
      <c r="EN20" s="64">
        <v>4.8659999999999997</v>
      </c>
      <c r="EO20" s="64">
        <v>5.8579999999999997</v>
      </c>
      <c r="EP20" s="64">
        <v>5.1349999999999998</v>
      </c>
      <c r="EQ20" s="64">
        <v>4.6950000000000003</v>
      </c>
      <c r="ER20" s="64">
        <v>4.7880000000000003</v>
      </c>
      <c r="ES20" s="64">
        <v>4.9089999999999998</v>
      </c>
      <c r="ET20" s="64">
        <v>4.8789999999999996</v>
      </c>
    </row>
    <row r="21" spans="1:150" ht="12" customHeight="1">
      <c r="A21" s="92"/>
      <c r="B21" s="99" t="s">
        <v>24</v>
      </c>
      <c r="C21" s="95"/>
      <c r="D21" s="101" t="str">
        <f>IF(CC22&gt;0,CD22,IF(AND($H$8="3D",H9="AUTO"),"( L1 &amp; L3 )"," "))</f>
        <v xml:space="preserve"> </v>
      </c>
      <c r="E21" s="251"/>
      <c r="F21" s="95" t="str">
        <f t="shared" si="4"/>
        <v xml:space="preserve"> </v>
      </c>
      <c r="G21" s="95" t="str">
        <f t="shared" si="5"/>
        <v xml:space="preserve"> </v>
      </c>
      <c r="H21" s="120">
        <v>0</v>
      </c>
      <c r="I21" s="96"/>
      <c r="J21" s="659"/>
      <c r="K21" s="94"/>
      <c r="L21" s="94"/>
      <c r="M21" s="666"/>
      <c r="N21" s="666"/>
      <c r="O21" s="94"/>
      <c r="P21" s="96"/>
      <c r="Q21" s="98"/>
      <c r="BY21" s="130"/>
      <c r="BZ21" s="130"/>
      <c r="CA21" s="131">
        <v>15</v>
      </c>
      <c r="CB21" s="129">
        <f>IF(SUM(CB$7:CB19)=0,CC21,0)</f>
        <v>0</v>
      </c>
      <c r="CC21" s="132">
        <f>IF(ISBLANK(H20)=TRUE,15,IF(ISNUMBER(H20)=TRUE,IF(H20&lt;0,15,0),15))</f>
        <v>0</v>
      </c>
      <c r="CD21" s="133" t="s">
        <v>366</v>
      </c>
      <c r="CE21" s="132"/>
      <c r="CF21" s="133"/>
      <c r="CG21" s="133"/>
      <c r="CH21" s="132"/>
      <c r="CI21" s="132"/>
      <c r="CJ21" s="133"/>
      <c r="CK21" s="133"/>
      <c r="CL21" s="133"/>
      <c r="CM21" s="133"/>
      <c r="CN21" s="133"/>
      <c r="CO21" s="133"/>
      <c r="CP21" s="133"/>
      <c r="CQ21" s="1"/>
      <c r="CX21" s="62">
        <f>DA20+0.00001</f>
        <v>75.000010000000003</v>
      </c>
      <c r="CY21" s="24"/>
      <c r="CZ21" s="22"/>
      <c r="DA21" s="62">
        <f t="shared" si="7"/>
        <v>90</v>
      </c>
      <c r="DB21" s="62">
        <f t="shared" si="8"/>
        <v>90</v>
      </c>
      <c r="DC21" s="62" t="s">
        <v>83</v>
      </c>
      <c r="DD21" s="62">
        <v>8</v>
      </c>
      <c r="DE21" s="62">
        <v>1</v>
      </c>
      <c r="DF21" s="62">
        <f t="shared" si="6"/>
        <v>75</v>
      </c>
      <c r="DG21" s="62">
        <f t="shared" si="6"/>
        <v>90</v>
      </c>
      <c r="DH21" s="62">
        <f t="shared" si="6"/>
        <v>100</v>
      </c>
      <c r="DJ21" s="62" t="s">
        <v>84</v>
      </c>
      <c r="DK21" s="62">
        <v>85</v>
      </c>
      <c r="DL21" s="62">
        <v>100</v>
      </c>
      <c r="DM21" s="62">
        <v>110</v>
      </c>
      <c r="DN21" s="62">
        <v>65</v>
      </c>
      <c r="DO21" s="62">
        <v>75</v>
      </c>
      <c r="DP21" s="62">
        <v>85</v>
      </c>
      <c r="DR21" s="62">
        <f>DS20+0.00001</f>
        <v>150.00001</v>
      </c>
      <c r="DS21" s="62">
        <v>175</v>
      </c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F21" s="59">
        <f>EG20+0.0000000001</f>
        <v>2.9996000001000001</v>
      </c>
      <c r="EG21" s="63">
        <f t="shared" si="3"/>
        <v>4.0040000000000004</v>
      </c>
      <c r="EH21" s="62">
        <v>3.5</v>
      </c>
      <c r="EI21" s="64">
        <f t="shared" si="0"/>
        <v>10.01</v>
      </c>
      <c r="EJ21" s="62">
        <v>3.5</v>
      </c>
      <c r="EK21" s="22"/>
      <c r="EL21" s="62">
        <v>3</v>
      </c>
      <c r="EM21" s="64">
        <v>7.069</v>
      </c>
      <c r="EN21" s="64">
        <v>7.4989999999999997</v>
      </c>
      <c r="EO21" s="64">
        <v>8.8460000000000001</v>
      </c>
      <c r="EP21" s="64">
        <v>7.9219999999999997</v>
      </c>
      <c r="EQ21" s="64">
        <v>7.2679999999999998</v>
      </c>
      <c r="ER21" s="64">
        <v>7.3929999999999998</v>
      </c>
      <c r="ES21" s="64">
        <v>7.069</v>
      </c>
      <c r="ET21" s="64">
        <v>7.4749999999999996</v>
      </c>
    </row>
    <row r="22" spans="1:150" ht="12" customHeight="1">
      <c r="A22" s="92"/>
      <c r="B22" s="99"/>
      <c r="C22" s="95"/>
      <c r="D22" s="101"/>
      <c r="E22" s="251"/>
      <c r="F22" s="95"/>
      <c r="G22" s="95"/>
      <c r="H22" s="102"/>
      <c r="I22" s="96"/>
      <c r="J22" s="659"/>
      <c r="K22" s="94"/>
      <c r="L22" s="94"/>
      <c r="M22" s="94"/>
      <c r="N22" s="94"/>
      <c r="O22" s="94"/>
      <c r="P22" s="96"/>
      <c r="Q22" s="98"/>
      <c r="BY22" s="130"/>
      <c r="BZ22" s="130"/>
      <c r="CA22" s="131">
        <v>16</v>
      </c>
      <c r="CB22" s="129">
        <f>IF(SUM(CB$7:CB21)=0,CC22,0)</f>
        <v>0</v>
      </c>
      <c r="CC22" s="132">
        <f>IF(ISBLANK(H21)=TRUE,16,IF(ISNUMBER(H21)=TRUE,IF(H21&lt;0,16,0),16))</f>
        <v>0</v>
      </c>
      <c r="CD22" s="133" t="str">
        <f>IF($H$8="3D","ENTER % FACTOR L1 &amp; L3","ENTER % FACTOR")</f>
        <v>ENTER % FACTOR</v>
      </c>
      <c r="CE22" s="133" t="s">
        <v>12</v>
      </c>
      <c r="CF22" s="133"/>
      <c r="CG22" s="133"/>
      <c r="CH22" s="132"/>
      <c r="CI22" s="132"/>
      <c r="CJ22" s="133"/>
      <c r="CK22" s="133"/>
      <c r="CL22" s="133"/>
      <c r="CM22" s="133"/>
      <c r="CN22" s="133"/>
      <c r="CO22" s="133"/>
      <c r="CP22" s="133"/>
      <c r="CQ22" s="1"/>
      <c r="CX22" s="62">
        <f t="shared" si="9"/>
        <v>90.000010000000003</v>
      </c>
      <c r="CY22" s="24"/>
      <c r="CZ22" s="22"/>
      <c r="DA22" s="62">
        <f t="shared" si="7"/>
        <v>100</v>
      </c>
      <c r="DB22" s="62">
        <f t="shared" si="8"/>
        <v>100</v>
      </c>
      <c r="DC22" s="62" t="s">
        <v>87</v>
      </c>
      <c r="DD22" s="62">
        <v>9</v>
      </c>
      <c r="DE22" s="62">
        <v>1</v>
      </c>
      <c r="DF22" s="62">
        <f t="shared" si="6"/>
        <v>85</v>
      </c>
      <c r="DG22" s="62">
        <f t="shared" si="6"/>
        <v>100</v>
      </c>
      <c r="DH22" s="62">
        <f t="shared" si="6"/>
        <v>115</v>
      </c>
      <c r="DJ22" s="62" t="s">
        <v>83</v>
      </c>
      <c r="DK22" s="62">
        <v>95</v>
      </c>
      <c r="DL22" s="62">
        <v>115</v>
      </c>
      <c r="DM22" s="62">
        <v>130</v>
      </c>
      <c r="DN22" s="62">
        <v>75</v>
      </c>
      <c r="DO22" s="62">
        <v>90</v>
      </c>
      <c r="DP22" s="62">
        <v>100</v>
      </c>
      <c r="DR22" s="62">
        <f t="shared" si="1"/>
        <v>175.00001</v>
      </c>
      <c r="DS22" s="62">
        <v>200</v>
      </c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F22" s="59">
        <f t="shared" si="2"/>
        <v>4.0040000001000005</v>
      </c>
      <c r="EG22" s="67">
        <f t="shared" si="3"/>
        <v>5.1332000000000004</v>
      </c>
      <c r="EH22" s="57">
        <v>4</v>
      </c>
      <c r="EI22" s="68">
        <f t="shared" si="0"/>
        <v>12.833</v>
      </c>
      <c r="EJ22" s="57">
        <v>4</v>
      </c>
      <c r="EK22" s="22"/>
      <c r="EL22" s="62">
        <v>3.5</v>
      </c>
      <c r="EM22" s="64">
        <v>9.6210000000000004</v>
      </c>
      <c r="EN22" s="64">
        <v>10.01</v>
      </c>
      <c r="EO22" s="64">
        <v>11.545</v>
      </c>
      <c r="EP22" s="64">
        <v>10.584</v>
      </c>
      <c r="EQ22" s="64">
        <v>9.7370000000000001</v>
      </c>
      <c r="ER22" s="64">
        <v>9.8659999999999997</v>
      </c>
      <c r="ES22" s="64">
        <v>9.6210000000000004</v>
      </c>
      <c r="ET22" s="64">
        <v>9.7309999999999999</v>
      </c>
    </row>
    <row r="23" spans="1:150" ht="12" customHeight="1">
      <c r="A23" s="92"/>
      <c r="B23" s="99" t="s">
        <v>475</v>
      </c>
      <c r="C23" s="95"/>
      <c r="D23" s="101" t="str">
        <f>IF(CC24&gt;0,CD24," ")</f>
        <v xml:space="preserve"> </v>
      </c>
      <c r="E23" s="251"/>
      <c r="F23" s="95" t="str">
        <f t="shared" si="4"/>
        <v xml:space="preserve"> </v>
      </c>
      <c r="G23" s="95" t="str">
        <f t="shared" si="5"/>
        <v xml:space="preserve"> </v>
      </c>
      <c r="H23" s="121" t="s">
        <v>28</v>
      </c>
      <c r="I23" s="96"/>
      <c r="J23" s="659"/>
      <c r="K23" s="94"/>
      <c r="L23" s="94"/>
      <c r="M23" s="94"/>
      <c r="N23" s="94"/>
      <c r="O23" s="94"/>
      <c r="P23" s="96"/>
      <c r="Q23" s="98"/>
      <c r="BG23" s="144" t="s">
        <v>396</v>
      </c>
      <c r="BH23" s="144" t="s">
        <v>396</v>
      </c>
      <c r="BI23" s="144" t="s">
        <v>396</v>
      </c>
      <c r="BJ23" s="144" t="s">
        <v>396</v>
      </c>
      <c r="BK23" s="144" t="s">
        <v>401</v>
      </c>
      <c r="BL23" s="144" t="s">
        <v>401</v>
      </c>
      <c r="BM23" s="144" t="s">
        <v>401</v>
      </c>
      <c r="BN23" s="144" t="s">
        <v>401</v>
      </c>
      <c r="BO23" s="144" t="s">
        <v>472</v>
      </c>
      <c r="BP23" s="144" t="s">
        <v>472</v>
      </c>
      <c r="BQ23" s="144" t="s">
        <v>472</v>
      </c>
      <c r="BR23" s="144" t="s">
        <v>472</v>
      </c>
      <c r="BS23" s="144" t="s">
        <v>472</v>
      </c>
      <c r="BT23" s="144" t="s">
        <v>472</v>
      </c>
      <c r="BU23" s="144"/>
      <c r="BV23" s="144"/>
      <c r="BY23" s="130"/>
      <c r="BZ23" s="130"/>
      <c r="CA23" s="131">
        <v>17</v>
      </c>
      <c r="CB23" s="129">
        <f>IF(SUM(CB$7:CB22)=0,CC23,0)</f>
        <v>0</v>
      </c>
      <c r="CC23" s="132">
        <v>0</v>
      </c>
      <c r="CD23" s="133" t="s">
        <v>531</v>
      </c>
      <c r="CE23" s="133"/>
      <c r="CF23" s="133"/>
      <c r="CG23" s="133"/>
      <c r="CH23" s="132"/>
      <c r="CI23" s="132"/>
      <c r="CJ23" s="133"/>
      <c r="CK23" s="133"/>
      <c r="CL23" s="133"/>
      <c r="CM23" s="133"/>
      <c r="CN23" s="133"/>
      <c r="CO23" s="133"/>
      <c r="CP23" s="133"/>
      <c r="CQ23" s="1"/>
      <c r="CX23" s="62">
        <f t="shared" si="9"/>
        <v>100.00001</v>
      </c>
      <c r="CY23" s="24"/>
      <c r="CZ23" s="22"/>
      <c r="DA23" s="62">
        <f t="shared" si="7"/>
        <v>120</v>
      </c>
      <c r="DB23" s="62">
        <f t="shared" si="8"/>
        <v>120</v>
      </c>
      <c r="DC23" s="62" t="s">
        <v>93</v>
      </c>
      <c r="DD23" s="62">
        <v>10</v>
      </c>
      <c r="DE23" s="62">
        <v>1</v>
      </c>
      <c r="DF23" s="62">
        <f t="shared" si="6"/>
        <v>100</v>
      </c>
      <c r="DG23" s="62">
        <f t="shared" si="6"/>
        <v>120</v>
      </c>
      <c r="DH23" s="62">
        <f t="shared" si="6"/>
        <v>135</v>
      </c>
      <c r="DJ23" s="62" t="s">
        <v>87</v>
      </c>
      <c r="DK23" s="62">
        <v>110</v>
      </c>
      <c r="DL23" s="62">
        <v>130</v>
      </c>
      <c r="DM23" s="62">
        <v>150</v>
      </c>
      <c r="DN23" s="62">
        <v>85</v>
      </c>
      <c r="DO23" s="62">
        <v>100</v>
      </c>
      <c r="DP23" s="62">
        <v>115</v>
      </c>
      <c r="DR23" s="62">
        <f t="shared" si="1"/>
        <v>200.00001</v>
      </c>
      <c r="DS23" s="62">
        <v>225</v>
      </c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F23" s="22"/>
      <c r="EG23" s="22"/>
      <c r="EH23" s="22"/>
      <c r="EI23" s="22"/>
      <c r="EJ23" s="22"/>
      <c r="EK23" s="22"/>
      <c r="EL23" s="57">
        <v>4</v>
      </c>
      <c r="EM23" s="68">
        <v>12.554</v>
      </c>
      <c r="EN23" s="68">
        <v>12.833</v>
      </c>
      <c r="EO23" s="68">
        <v>14.753</v>
      </c>
      <c r="EP23" s="68">
        <v>13.631</v>
      </c>
      <c r="EQ23" s="68">
        <v>12.554</v>
      </c>
      <c r="ER23" s="68">
        <v>12.73</v>
      </c>
      <c r="ES23" s="68">
        <v>12.566000000000001</v>
      </c>
      <c r="ET23" s="68">
        <v>12.692</v>
      </c>
    </row>
    <row r="24" spans="1:150" ht="12" customHeight="1">
      <c r="A24" s="92"/>
      <c r="B24" s="99" t="str">
        <f>IF(ISBLANK(H23)=TRUE," ",IF(H23="N","BREAKER SIZE",IF(AND(H8="3D",H9="AUTO"),"FUSE SIZE L1 L3","BREAKER SIZE")))</f>
        <v>BREAKER SIZE</v>
      </c>
      <c r="C24" s="95"/>
      <c r="D24" s="101" t="str">
        <f>IF(ISBLANK(H6)=TRUE," ",IF(CC26&gt;0,CD26," "))</f>
        <v xml:space="preserve"> </v>
      </c>
      <c r="E24" s="251"/>
      <c r="F24" s="102"/>
      <c r="G24" s="95"/>
      <c r="H24" s="103">
        <f>IF(CF14&gt;0,"ERROR",IF(CB36=0,IF(H23="Y",DS39,"NONE")," "))</f>
        <v>60</v>
      </c>
      <c r="I24" s="96"/>
      <c r="J24" s="659"/>
      <c r="K24" s="94"/>
      <c r="L24" s="94"/>
      <c r="M24" s="94"/>
      <c r="N24" s="94"/>
      <c r="O24" s="94"/>
      <c r="P24" s="96"/>
      <c r="Q24" s="98"/>
      <c r="T24" s="126" t="s">
        <v>228</v>
      </c>
      <c r="U24" s="126" t="s">
        <v>21</v>
      </c>
      <c r="W24" s="143" t="s">
        <v>233</v>
      </c>
      <c r="X24" s="143" t="s">
        <v>233</v>
      </c>
      <c r="Y24" s="143" t="s">
        <v>233</v>
      </c>
      <c r="Z24" s="143" t="s">
        <v>39</v>
      </c>
      <c r="AA24" s="143" t="s">
        <v>39</v>
      </c>
      <c r="AB24" s="143" t="s">
        <v>39</v>
      </c>
      <c r="AC24" s="143" t="s">
        <v>39</v>
      </c>
      <c r="AD24" s="143" t="s">
        <v>39</v>
      </c>
      <c r="AE24" s="143" t="s">
        <v>39</v>
      </c>
      <c r="AF24" s="143" t="s">
        <v>61</v>
      </c>
      <c r="AG24" s="143" t="s">
        <v>61</v>
      </c>
      <c r="AH24" s="143" t="s">
        <v>61</v>
      </c>
      <c r="AI24" s="143" t="s">
        <v>61</v>
      </c>
      <c r="AJ24" s="143" t="s">
        <v>61</v>
      </c>
      <c r="AK24" s="143" t="s">
        <v>61</v>
      </c>
      <c r="AL24" s="143" t="s">
        <v>189</v>
      </c>
      <c r="AM24" s="143" t="s">
        <v>189</v>
      </c>
      <c r="AN24" s="143" t="s">
        <v>189</v>
      </c>
      <c r="AO24" s="143" t="s">
        <v>189</v>
      </c>
      <c r="AP24" s="143" t="s">
        <v>189</v>
      </c>
      <c r="AQ24" s="143" t="s">
        <v>189</v>
      </c>
      <c r="AR24" s="143" t="s">
        <v>62</v>
      </c>
      <c r="AS24" s="143" t="s">
        <v>62</v>
      </c>
      <c r="AT24" s="143" t="s">
        <v>63</v>
      </c>
      <c r="AU24" s="143" t="s">
        <v>63</v>
      </c>
      <c r="AV24" s="143" t="s">
        <v>63</v>
      </c>
      <c r="AW24" s="143" t="s">
        <v>63</v>
      </c>
      <c r="AX24" s="143" t="s">
        <v>63</v>
      </c>
      <c r="AY24" s="143" t="s">
        <v>63</v>
      </c>
      <c r="AZ24" s="143"/>
      <c r="BA24" s="144" t="s">
        <v>243</v>
      </c>
      <c r="BB24" s="144" t="s">
        <v>243</v>
      </c>
      <c r="BC24" s="144" t="s">
        <v>243</v>
      </c>
      <c r="BD24" s="144" t="s">
        <v>243</v>
      </c>
      <c r="BE24" s="144" t="s">
        <v>243</v>
      </c>
      <c r="BF24" s="144" t="s">
        <v>243</v>
      </c>
      <c r="BG24" s="144" t="s">
        <v>471</v>
      </c>
      <c r="BH24" s="144" t="s">
        <v>471</v>
      </c>
      <c r="BI24" s="144" t="s">
        <v>471</v>
      </c>
      <c r="BJ24" s="144" t="s">
        <v>471</v>
      </c>
      <c r="BK24" s="144" t="s">
        <v>471</v>
      </c>
      <c r="BL24" s="144" t="s">
        <v>471</v>
      </c>
      <c r="BM24" s="144" t="s">
        <v>471</v>
      </c>
      <c r="BN24" s="144" t="s">
        <v>471</v>
      </c>
      <c r="BO24" s="144" t="s">
        <v>471</v>
      </c>
      <c r="BP24" s="144" t="s">
        <v>471</v>
      </c>
      <c r="BQ24" s="144" t="s">
        <v>471</v>
      </c>
      <c r="BR24" s="144" t="s">
        <v>471</v>
      </c>
      <c r="BS24" s="144" t="s">
        <v>471</v>
      </c>
      <c r="BT24" s="144" t="s">
        <v>471</v>
      </c>
      <c r="BU24" s="144"/>
      <c r="BV24" s="144"/>
      <c r="BW24" s="144"/>
      <c r="BY24" s="130"/>
      <c r="BZ24" s="130"/>
      <c r="CA24" s="131">
        <v>18</v>
      </c>
      <c r="CB24" s="129">
        <f>IF(SUM(CB$7:CB22)=0,CC24,0)</f>
        <v>0</v>
      </c>
      <c r="CC24" s="132">
        <f>IF(ISTEXT(H23)=TRUE,IF(H23="Y",0,IF(H23="N",0,18)),18)</f>
        <v>0</v>
      </c>
      <c r="CD24" s="133" t="s">
        <v>476</v>
      </c>
      <c r="CE24" s="133" t="s">
        <v>12</v>
      </c>
      <c r="CF24" s="129"/>
      <c r="CG24" s="133"/>
      <c r="CH24" s="132"/>
      <c r="CI24" s="132"/>
      <c r="CJ24" s="133"/>
      <c r="CK24" s="133"/>
      <c r="CL24" s="133"/>
      <c r="CM24" s="133"/>
      <c r="CN24" s="133"/>
      <c r="CO24" s="133"/>
      <c r="CP24" s="133"/>
      <c r="CQ24" s="1"/>
      <c r="CX24" s="62">
        <f t="shared" si="9"/>
        <v>120.00001</v>
      </c>
      <c r="CY24" s="24"/>
      <c r="CZ24" s="22"/>
      <c r="DA24" s="62">
        <f t="shared" si="7"/>
        <v>135</v>
      </c>
      <c r="DB24" s="62">
        <f t="shared" si="8"/>
        <v>135</v>
      </c>
      <c r="DC24" s="62" t="s">
        <v>97</v>
      </c>
      <c r="DD24" s="62">
        <v>11</v>
      </c>
      <c r="DE24" s="62">
        <v>1</v>
      </c>
      <c r="DF24" s="62">
        <f t="shared" si="6"/>
        <v>115</v>
      </c>
      <c r="DG24" s="62">
        <f t="shared" si="6"/>
        <v>135</v>
      </c>
      <c r="DH24" s="62">
        <f t="shared" si="6"/>
        <v>150</v>
      </c>
      <c r="DJ24" s="62" t="s">
        <v>93</v>
      </c>
      <c r="DK24" s="62">
        <v>125</v>
      </c>
      <c r="DL24" s="62">
        <v>150</v>
      </c>
      <c r="DM24" s="62">
        <v>170</v>
      </c>
      <c r="DN24" s="62">
        <v>100</v>
      </c>
      <c r="DO24" s="62">
        <v>120</v>
      </c>
      <c r="DP24" s="62">
        <v>135</v>
      </c>
      <c r="DR24" s="62">
        <f t="shared" si="1"/>
        <v>225.00001</v>
      </c>
      <c r="DS24" s="62">
        <v>250</v>
      </c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F24" s="69" t="s">
        <v>98</v>
      </c>
      <c r="EG24" s="70">
        <f>IF(EB84=0,"NOT USED",VLOOKUP(EG7,EF10:EJ22,3))</f>
        <v>1.25</v>
      </c>
      <c r="EH24" s="24" t="s">
        <v>498</v>
      </c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</row>
    <row r="25" spans="1:150" ht="12" customHeight="1">
      <c r="A25" s="92"/>
      <c r="B25" s="99"/>
      <c r="C25" s="95"/>
      <c r="D25" s="271"/>
      <c r="E25" s="272"/>
      <c r="F25" s="273"/>
      <c r="G25" s="95"/>
      <c r="H25" s="102"/>
      <c r="I25" s="94"/>
      <c r="J25" s="660"/>
      <c r="K25" s="94"/>
      <c r="L25" s="257"/>
      <c r="M25" s="257"/>
      <c r="N25" s="94"/>
      <c r="O25" s="94"/>
      <c r="P25" s="96"/>
      <c r="Q25" s="98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Y25" s="130"/>
      <c r="BZ25" s="130"/>
      <c r="CA25" s="131">
        <v>19</v>
      </c>
      <c r="CB25" s="129">
        <f>IF(SUM(CB$7:CB24)=0,CC25,0)</f>
        <v>0</v>
      </c>
      <c r="CC25" s="132">
        <f>IF(CB135&gt;0,19,0)</f>
        <v>0</v>
      </c>
      <c r="CD25" s="133" t="s">
        <v>213</v>
      </c>
      <c r="CE25" s="133"/>
      <c r="CF25" s="129"/>
      <c r="CG25" s="133"/>
      <c r="CH25" s="132"/>
      <c r="CI25" s="132"/>
      <c r="CJ25" s="133"/>
      <c r="CK25" s="133"/>
      <c r="CL25" s="133"/>
      <c r="CM25" s="133"/>
      <c r="CN25" s="133"/>
      <c r="CO25" s="133"/>
      <c r="CP25" s="133"/>
      <c r="CQ25" s="32"/>
      <c r="CX25" s="62">
        <f t="shared" si="9"/>
        <v>135.00001</v>
      </c>
      <c r="CY25" s="24"/>
      <c r="CZ25" s="22"/>
      <c r="DA25" s="62">
        <f t="shared" si="7"/>
        <v>155</v>
      </c>
      <c r="DB25" s="62">
        <f t="shared" si="8"/>
        <v>155</v>
      </c>
      <c r="DC25" s="62" t="s">
        <v>101</v>
      </c>
      <c r="DD25" s="62">
        <v>12</v>
      </c>
      <c r="DE25" s="62">
        <v>1</v>
      </c>
      <c r="DF25" s="62">
        <f t="shared" si="6"/>
        <v>130</v>
      </c>
      <c r="DG25" s="62">
        <f t="shared" si="6"/>
        <v>155</v>
      </c>
      <c r="DH25" s="62">
        <f t="shared" si="6"/>
        <v>175</v>
      </c>
      <c r="DJ25" s="62" t="s">
        <v>97</v>
      </c>
      <c r="DK25" s="62">
        <v>145</v>
      </c>
      <c r="DL25" s="62">
        <v>175</v>
      </c>
      <c r="DM25" s="62">
        <v>195</v>
      </c>
      <c r="DN25" s="62">
        <v>115</v>
      </c>
      <c r="DO25" s="62">
        <v>135</v>
      </c>
      <c r="DP25" s="62">
        <v>150</v>
      </c>
      <c r="DR25" s="62">
        <f t="shared" si="1"/>
        <v>250.00001</v>
      </c>
      <c r="DS25" s="62">
        <v>300</v>
      </c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F25" s="71" t="s">
        <v>15</v>
      </c>
      <c r="EG25" s="72" t="str">
        <f>EI10</f>
        <v>RIGID</v>
      </c>
      <c r="EH25" s="24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</row>
    <row r="26" spans="1:150" ht="12" customHeight="1">
      <c r="A26" s="92"/>
      <c r="B26" s="146" t="str">
        <f>CB82</f>
        <v xml:space="preserve"> </v>
      </c>
      <c r="C26" s="94"/>
      <c r="D26" s="257"/>
      <c r="E26" s="250"/>
      <c r="F26" s="257"/>
      <c r="G26" s="94"/>
      <c r="H26" s="94"/>
      <c r="I26" s="94"/>
      <c r="J26" s="94"/>
      <c r="K26" s="94"/>
      <c r="L26" s="257"/>
      <c r="M26" s="257"/>
      <c r="N26" s="94"/>
      <c r="O26" s="94"/>
      <c r="P26" s="147" t="str">
        <f>CB126</f>
        <v/>
      </c>
      <c r="Q26" s="98"/>
      <c r="T26" s="126" t="s">
        <v>229</v>
      </c>
      <c r="U26" s="126" t="s">
        <v>393</v>
      </c>
      <c r="W26" s="143" t="s">
        <v>65</v>
      </c>
      <c r="X26" s="143" t="s">
        <v>65</v>
      </c>
      <c r="Y26" s="143" t="s">
        <v>65</v>
      </c>
      <c r="Z26" s="143" t="s">
        <v>65</v>
      </c>
      <c r="AA26" s="143" t="s">
        <v>65</v>
      </c>
      <c r="AB26" s="143" t="s">
        <v>65</v>
      </c>
      <c r="AC26" s="143" t="s">
        <v>65</v>
      </c>
      <c r="AD26" s="143" t="s">
        <v>65</v>
      </c>
      <c r="AE26" s="143" t="s">
        <v>65</v>
      </c>
      <c r="AF26" s="143" t="s">
        <v>65</v>
      </c>
      <c r="AG26" s="143" t="s">
        <v>65</v>
      </c>
      <c r="AH26" s="143" t="s">
        <v>65</v>
      </c>
      <c r="AI26" s="143" t="s">
        <v>65</v>
      </c>
      <c r="AJ26" s="143" t="s">
        <v>65</v>
      </c>
      <c r="AK26" s="143" t="s">
        <v>65</v>
      </c>
      <c r="AL26" s="143" t="s">
        <v>65</v>
      </c>
      <c r="AM26" s="143" t="s">
        <v>65</v>
      </c>
      <c r="AN26" s="143" t="s">
        <v>65</v>
      </c>
      <c r="AO26" s="143" t="s">
        <v>65</v>
      </c>
      <c r="AP26" s="143" t="s">
        <v>65</v>
      </c>
      <c r="AQ26" s="143" t="s">
        <v>65</v>
      </c>
      <c r="AR26" s="143" t="s">
        <v>65</v>
      </c>
      <c r="AS26" s="143" t="s">
        <v>65</v>
      </c>
      <c r="AT26" s="143" t="s">
        <v>65</v>
      </c>
      <c r="AU26" s="143" t="s">
        <v>65</v>
      </c>
      <c r="AV26" s="143" t="s">
        <v>65</v>
      </c>
      <c r="AW26" s="143" t="s">
        <v>65</v>
      </c>
      <c r="AX26" s="143" t="s">
        <v>65</v>
      </c>
      <c r="AY26" s="143" t="s">
        <v>65</v>
      </c>
      <c r="AZ26" s="143"/>
      <c r="BA26" s="144" t="s">
        <v>65</v>
      </c>
      <c r="BB26" s="144" t="s">
        <v>65</v>
      </c>
      <c r="BC26" s="144" t="s">
        <v>65</v>
      </c>
      <c r="BD26" s="144" t="s">
        <v>65</v>
      </c>
      <c r="BE26" s="144" t="s">
        <v>65</v>
      </c>
      <c r="BF26" s="144" t="s">
        <v>65</v>
      </c>
      <c r="BG26" s="144" t="s">
        <v>65</v>
      </c>
      <c r="BH26" s="144" t="s">
        <v>65</v>
      </c>
      <c r="BI26" s="144" t="s">
        <v>65</v>
      </c>
      <c r="BJ26" s="144" t="s">
        <v>65</v>
      </c>
      <c r="BK26" s="144" t="s">
        <v>65</v>
      </c>
      <c r="BL26" s="144" t="s">
        <v>65</v>
      </c>
      <c r="BM26" s="144" t="s">
        <v>65</v>
      </c>
      <c r="BN26" s="144" t="s">
        <v>65</v>
      </c>
      <c r="BO26" s="144" t="s">
        <v>65</v>
      </c>
      <c r="BP26" s="144" t="s">
        <v>65</v>
      </c>
      <c r="BQ26" s="144" t="s">
        <v>65</v>
      </c>
      <c r="BR26" s="144" t="s">
        <v>65</v>
      </c>
      <c r="BS26" s="144" t="s">
        <v>65</v>
      </c>
      <c r="BT26" s="144" t="s">
        <v>65</v>
      </c>
      <c r="BU26" s="144"/>
      <c r="BV26" s="144"/>
      <c r="BW26" s="144"/>
      <c r="BY26" s="130"/>
      <c r="BZ26" s="130"/>
      <c r="CA26" s="131">
        <v>20</v>
      </c>
      <c r="CB26" s="129">
        <f>IF(SUM(CB$7:CB25)=0,CC26,0)</f>
        <v>0</v>
      </c>
      <c r="CC26" s="132">
        <f>IF(CH1&gt;0,0,IF(ISBLANK(H6)=TRUE,0,IF(Calcs!V43&gt;1200,20,0)))</f>
        <v>0</v>
      </c>
      <c r="CD26" s="133" t="s">
        <v>214</v>
      </c>
      <c r="CE26" s="133" t="s">
        <v>12</v>
      </c>
      <c r="CF26" s="133"/>
      <c r="CG26" s="133"/>
      <c r="CH26" s="132"/>
      <c r="CI26" s="132"/>
      <c r="CJ26" s="133"/>
      <c r="CK26" s="133"/>
      <c r="CL26" s="133"/>
      <c r="CM26" s="133"/>
      <c r="CN26" s="133"/>
      <c r="CO26" s="133"/>
      <c r="CP26" s="133"/>
      <c r="CQ26" s="32"/>
      <c r="CX26" s="62">
        <f t="shared" si="9"/>
        <v>155.00001</v>
      </c>
      <c r="CY26" s="24"/>
      <c r="CZ26" s="22"/>
      <c r="DA26" s="62">
        <f t="shared" si="7"/>
        <v>180</v>
      </c>
      <c r="DB26" s="62">
        <f t="shared" si="8"/>
        <v>180</v>
      </c>
      <c r="DC26" s="62" t="s">
        <v>103</v>
      </c>
      <c r="DD26" s="62">
        <v>13</v>
      </c>
      <c r="DE26" s="62">
        <v>1</v>
      </c>
      <c r="DF26" s="62">
        <f t="shared" si="6"/>
        <v>150</v>
      </c>
      <c r="DG26" s="62">
        <f t="shared" si="6"/>
        <v>180</v>
      </c>
      <c r="DH26" s="62">
        <f t="shared" si="6"/>
        <v>205</v>
      </c>
      <c r="DJ26" s="62" t="s">
        <v>101</v>
      </c>
      <c r="DK26" s="62">
        <v>165</v>
      </c>
      <c r="DL26" s="62">
        <v>200</v>
      </c>
      <c r="DM26" s="62">
        <v>225</v>
      </c>
      <c r="DN26" s="62">
        <v>130</v>
      </c>
      <c r="DO26" s="62">
        <v>155</v>
      </c>
      <c r="DP26" s="62">
        <v>175</v>
      </c>
      <c r="DR26" s="62">
        <f t="shared" si="1"/>
        <v>300.00000999999997</v>
      </c>
      <c r="DS26" s="62">
        <v>350</v>
      </c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F26" s="69" t="s">
        <v>98</v>
      </c>
      <c r="EG26" s="70" t="str">
        <f>IF(EB84&gt;0,"NOT USED",EG45)</f>
        <v>NOT USED</v>
      </c>
      <c r="EH26" s="24" t="s">
        <v>499</v>
      </c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</row>
    <row r="27" spans="1:150" ht="12" customHeight="1">
      <c r="A27" s="92"/>
      <c r="B27" s="106" t="s">
        <v>88</v>
      </c>
      <c r="C27" s="105" t="s">
        <v>89</v>
      </c>
      <c r="D27" s="252" t="s">
        <v>52</v>
      </c>
      <c r="E27" s="95" t="str">
        <f>IF($H$10="AUTO","N"," ")</f>
        <v xml:space="preserve"> </v>
      </c>
      <c r="F27" s="107" t="str">
        <f>IF($H$8="3Y","H"," ")</f>
        <v>H</v>
      </c>
      <c r="G27" s="231" t="s">
        <v>54</v>
      </c>
      <c r="H27" s="108"/>
      <c r="I27" s="109"/>
      <c r="J27" s="109" t="s">
        <v>90</v>
      </c>
      <c r="K27" s="105" t="s">
        <v>54</v>
      </c>
      <c r="L27" s="107" t="str">
        <f>IF($H$8="3Y","H"," ")</f>
        <v>H</v>
      </c>
      <c r="M27" s="231" t="str">
        <f>IF($H$10="AUTO","N"," ")</f>
        <v xml:space="preserve"> </v>
      </c>
      <c r="N27" s="100" t="s">
        <v>52</v>
      </c>
      <c r="O27" s="107" t="s">
        <v>89</v>
      </c>
      <c r="P27" s="106" t="s">
        <v>88</v>
      </c>
      <c r="Q27" s="110"/>
      <c r="W27" s="143" t="s">
        <v>55</v>
      </c>
      <c r="X27" s="143" t="s">
        <v>56</v>
      </c>
      <c r="Y27" s="143" t="s">
        <v>57</v>
      </c>
      <c r="Z27" s="143" t="s">
        <v>55</v>
      </c>
      <c r="AA27" s="143" t="s">
        <v>55</v>
      </c>
      <c r="AB27" s="143" t="s">
        <v>56</v>
      </c>
      <c r="AC27" s="143" t="s">
        <v>56</v>
      </c>
      <c r="AD27" s="143" t="s">
        <v>57</v>
      </c>
      <c r="AE27" s="143" t="s">
        <v>57</v>
      </c>
      <c r="AF27" s="143" t="s">
        <v>55</v>
      </c>
      <c r="AG27" s="143" t="s">
        <v>55</v>
      </c>
      <c r="AH27" s="143" t="s">
        <v>56</v>
      </c>
      <c r="AI27" s="143" t="s">
        <v>56</v>
      </c>
      <c r="AJ27" s="143" t="s">
        <v>57</v>
      </c>
      <c r="AK27" s="143" t="s">
        <v>57</v>
      </c>
      <c r="AL27" s="143" t="s">
        <v>55</v>
      </c>
      <c r="AM27" s="143" t="s">
        <v>55</v>
      </c>
      <c r="AN27" s="143" t="s">
        <v>56</v>
      </c>
      <c r="AO27" s="143" t="s">
        <v>56</v>
      </c>
      <c r="AP27" s="143" t="s">
        <v>57</v>
      </c>
      <c r="AQ27" s="143" t="s">
        <v>57</v>
      </c>
      <c r="AR27" s="143" t="s">
        <v>230</v>
      </c>
      <c r="AS27" s="143" t="s">
        <v>231</v>
      </c>
      <c r="AT27" s="143" t="s">
        <v>55</v>
      </c>
      <c r="AU27" s="143" t="s">
        <v>55</v>
      </c>
      <c r="AV27" s="143" t="s">
        <v>56</v>
      </c>
      <c r="AW27" s="144" t="s">
        <v>56</v>
      </c>
      <c r="AX27" s="143" t="s">
        <v>57</v>
      </c>
      <c r="AY27" s="144" t="s">
        <v>57</v>
      </c>
      <c r="AZ27" s="144"/>
      <c r="BA27" s="144" t="s">
        <v>55</v>
      </c>
      <c r="BB27" s="144" t="s">
        <v>55</v>
      </c>
      <c r="BC27" s="144" t="s">
        <v>56</v>
      </c>
      <c r="BD27" s="144" t="s">
        <v>56</v>
      </c>
      <c r="BE27" s="144" t="s">
        <v>57</v>
      </c>
      <c r="BF27" s="144" t="s">
        <v>57</v>
      </c>
      <c r="BG27" s="144" t="s">
        <v>55</v>
      </c>
      <c r="BH27" s="144" t="s">
        <v>55</v>
      </c>
      <c r="BI27" s="144" t="s">
        <v>57</v>
      </c>
      <c r="BJ27" s="144" t="s">
        <v>57</v>
      </c>
      <c r="BK27" s="144" t="s">
        <v>55</v>
      </c>
      <c r="BL27" s="144" t="s">
        <v>55</v>
      </c>
      <c r="BM27" s="144" t="s">
        <v>56</v>
      </c>
      <c r="BN27" s="144" t="s">
        <v>56</v>
      </c>
      <c r="BO27" s="144" t="s">
        <v>55</v>
      </c>
      <c r="BP27" s="144" t="s">
        <v>55</v>
      </c>
      <c r="BQ27" s="144" t="s">
        <v>56</v>
      </c>
      <c r="BR27" s="144" t="s">
        <v>56</v>
      </c>
      <c r="BS27" s="144" t="s">
        <v>57</v>
      </c>
      <c r="BT27" s="144" t="s">
        <v>57</v>
      </c>
      <c r="BU27" s="144"/>
      <c r="BV27" s="144"/>
      <c r="BW27" s="144"/>
      <c r="BY27" s="130"/>
      <c r="BZ27" s="130"/>
      <c r="CA27" s="131">
        <v>21</v>
      </c>
      <c r="CB27" s="129">
        <f>IF(SUM(CB$7:CB26)=0,CC27,0)</f>
        <v>0</v>
      </c>
      <c r="CC27" s="132">
        <v>0</v>
      </c>
      <c r="CD27" s="133" t="s">
        <v>565</v>
      </c>
      <c r="CE27" s="133"/>
      <c r="CF27" s="133"/>
      <c r="CG27" s="133"/>
      <c r="CH27" s="132"/>
      <c r="CI27" s="132"/>
      <c r="CJ27" s="133"/>
      <c r="CK27" s="133"/>
      <c r="CL27" s="133"/>
      <c r="CM27" s="133"/>
      <c r="CN27" s="133"/>
      <c r="CO27" s="133"/>
      <c r="CP27" s="133"/>
      <c r="CQ27" s="32"/>
      <c r="CX27" s="62">
        <f t="shared" si="9"/>
        <v>180.00001</v>
      </c>
      <c r="CY27" s="24"/>
      <c r="CZ27" s="22"/>
      <c r="DA27" s="62">
        <f t="shared" si="7"/>
        <v>205</v>
      </c>
      <c r="DB27" s="62">
        <f t="shared" si="8"/>
        <v>205</v>
      </c>
      <c r="DC27" s="62" t="s">
        <v>106</v>
      </c>
      <c r="DD27" s="62">
        <v>14</v>
      </c>
      <c r="DE27" s="62">
        <v>1</v>
      </c>
      <c r="DF27" s="62">
        <f t="shared" si="6"/>
        <v>170</v>
      </c>
      <c r="DG27" s="62">
        <f t="shared" si="6"/>
        <v>205</v>
      </c>
      <c r="DH27" s="62">
        <f t="shared" si="6"/>
        <v>230</v>
      </c>
      <c r="DJ27" s="62" t="s">
        <v>103</v>
      </c>
      <c r="DK27" s="62">
        <v>195</v>
      </c>
      <c r="DL27" s="62">
        <v>230</v>
      </c>
      <c r="DM27" s="62">
        <v>260</v>
      </c>
      <c r="DN27" s="62">
        <v>150</v>
      </c>
      <c r="DO27" s="62">
        <v>180</v>
      </c>
      <c r="DP27" s="62">
        <v>205</v>
      </c>
      <c r="DR27" s="62">
        <f t="shared" si="1"/>
        <v>350.00000999999997</v>
      </c>
      <c r="DS27" s="62">
        <v>400</v>
      </c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F27" s="69" t="s">
        <v>98</v>
      </c>
      <c r="EG27" s="70">
        <f>IF(EB84&gt;0,EG24,EG26)</f>
        <v>1.25</v>
      </c>
      <c r="EH27" s="24" t="str">
        <f>IF(EB84&gt;0,"DIFFERENT SIZE WIRES","SAME SIZE WIRES")</f>
        <v>DIFFERENT SIZE WIRES</v>
      </c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</row>
    <row r="28" spans="1:150" ht="12" customHeight="1">
      <c r="A28" s="92"/>
      <c r="B28" s="106">
        <v>1</v>
      </c>
      <c r="C28" s="256"/>
      <c r="D28" s="258"/>
      <c r="E28" s="256" t="s">
        <v>12</v>
      </c>
      <c r="F28" s="255" t="s">
        <v>12</v>
      </c>
      <c r="G28" s="254" t="s">
        <v>394</v>
      </c>
      <c r="H28" s="123">
        <v>6000</v>
      </c>
      <c r="I28" s="108" t="str">
        <f>U28</f>
        <v>L1</v>
      </c>
      <c r="J28" s="669">
        <v>1100</v>
      </c>
      <c r="K28" s="670" t="s">
        <v>394</v>
      </c>
      <c r="L28" s="675" t="s">
        <v>12</v>
      </c>
      <c r="M28" s="668" t="s">
        <v>12</v>
      </c>
      <c r="N28" s="671" t="s">
        <v>978</v>
      </c>
      <c r="O28" s="672" t="s">
        <v>979</v>
      </c>
      <c r="P28" s="106">
        <v>2</v>
      </c>
      <c r="Q28" s="110"/>
      <c r="T28" s="126">
        <v>1</v>
      </c>
      <c r="U28" s="126" t="s">
        <v>55</v>
      </c>
      <c r="W28" s="512">
        <f>IF(T28=0,0,IF($O$15="1-PHASE",J28,IF($O$15="3-PHASE",J28,(H28+J28))))</f>
        <v>7100</v>
      </c>
      <c r="X28" s="512"/>
      <c r="Y28" s="512"/>
      <c r="Z28" s="512">
        <f>IF(T28=0,0,IF($O$15="1-PHASE",0,IF($O$15="3-PHASE",0,IF(G28="G",H28,0))))</f>
        <v>6000</v>
      </c>
      <c r="AA28" s="512">
        <f>IF(T28=0,0,IF(K28="G",J28,0))</f>
        <v>1100</v>
      </c>
      <c r="AB28" s="512"/>
      <c r="AC28" s="512"/>
      <c r="AD28" s="512"/>
      <c r="AE28" s="512"/>
      <c r="AF28" s="513">
        <f>IF(T28=0,0,IF($O$15="1-PHASE",0,IF($O$15="3-PHASE",0,IF(G28="D",H28,0))))</f>
        <v>0</v>
      </c>
      <c r="AG28" s="513">
        <f>IF(T28=0,0,IF(K28="D",J28,0))</f>
        <v>0</v>
      </c>
      <c r="AH28" s="513"/>
      <c r="AI28" s="513"/>
      <c r="AJ28" s="513"/>
      <c r="AK28" s="513"/>
      <c r="AL28" s="514">
        <f>IF(T28=0,0,IF($O$15="1-PHASE",0,IF($O$15="3-PHASE",0,IF(G28="C",H28,0))))</f>
        <v>0</v>
      </c>
      <c r="AM28" s="514">
        <f>IF(T28=0,0,IF(K28="C",J28,0))</f>
        <v>0</v>
      </c>
      <c r="AN28" s="514"/>
      <c r="AO28" s="514"/>
      <c r="AP28" s="514"/>
      <c r="AQ28" s="514"/>
      <c r="AR28" s="334">
        <f>IF(T28=0,0,IF($O$15="1-PHASE",0,IF($O$15="3-PHASE",0,IF(F28="H",H28,0))))</f>
        <v>0</v>
      </c>
      <c r="AS28" s="133">
        <f t="shared" ref="AS28:AS69" si="10">IF(T28=0,0,IF(L28="H",J28,0))</f>
        <v>0</v>
      </c>
      <c r="AT28" s="515">
        <f>IF(T28=0,0,IF($O$15="1-PHASE",0,IF($O$15="3-PHASE",0,IF(G28="M",H28,0))))</f>
        <v>0</v>
      </c>
      <c r="AU28" s="515">
        <f>IF(T28=0,0,IF(K28="M",J28,0))</f>
        <v>0</v>
      </c>
      <c r="AV28" s="515"/>
      <c r="AW28" s="515"/>
      <c r="AX28" s="515"/>
      <c r="AY28" s="515"/>
      <c r="BA28" s="516">
        <f>IF(T28=0,0,IF($O$15="1-PHASE",0,IF($O$15="3-PHASE",0,IF(G28="K",H28,0))))</f>
        <v>0</v>
      </c>
      <c r="BB28" s="516">
        <f>IF(T28=0,0,IF(K28="K",J28,0))</f>
        <v>0</v>
      </c>
      <c r="BC28" s="516"/>
      <c r="BD28" s="516"/>
      <c r="BE28" s="516"/>
      <c r="BF28" s="516"/>
      <c r="BG28" s="513">
        <f>IF(T28=0,0,IF($O$15="1-PHASE",0,IF($O$15="3-PHASE",0,IF(E28="N",H28,0))))</f>
        <v>0</v>
      </c>
      <c r="BH28" s="515">
        <f>IF(T28=0,0,IF(M28="N",J28,0))</f>
        <v>0</v>
      </c>
      <c r="BK28" s="334">
        <f>IF(T28=0,0,IF($O$15="1-PHASE",0,IF($O$15="3-PHASE",0,IF(E28="N",H28,0))))</f>
        <v>0</v>
      </c>
      <c r="BL28" s="334">
        <f>IF(T28=0,0,IF(M28="N",J28,0))</f>
        <v>0</v>
      </c>
      <c r="BM28" s="334"/>
      <c r="BN28" s="334"/>
      <c r="BO28" s="516">
        <f>IF(T28=0,0,IF($O$15="1-PHASE",0,IF($O$15="3-PHASE",0,IF(E28="N",H28,0))))</f>
        <v>0</v>
      </c>
      <c r="BP28" s="516">
        <f>IF(T28=0,0,IF(M28="N",J28,0))</f>
        <v>0</v>
      </c>
      <c r="BQ28" s="516"/>
      <c r="BR28" s="516"/>
      <c r="BS28" s="516"/>
      <c r="BT28" s="516"/>
      <c r="BU28" s="133"/>
      <c r="BV28" s="133"/>
      <c r="BW28" s="133"/>
      <c r="BY28" s="130"/>
      <c r="BZ28" s="130"/>
      <c r="CA28" s="131">
        <v>22</v>
      </c>
      <c r="CB28" s="129">
        <f>IF(SUM(CB$7:CB27)=0,CC28,0)</f>
        <v>0</v>
      </c>
      <c r="CC28" s="132">
        <v>0</v>
      </c>
      <c r="CD28" s="133" t="s">
        <v>365</v>
      </c>
      <c r="CE28" s="133"/>
      <c r="CF28" s="133"/>
      <c r="CG28" s="133"/>
      <c r="CH28" s="132"/>
      <c r="CI28" s="132"/>
      <c r="CJ28" s="133"/>
      <c r="CK28" s="133"/>
      <c r="CL28" s="133"/>
      <c r="CM28" s="133"/>
      <c r="CN28" s="133"/>
      <c r="CO28" s="133"/>
      <c r="CP28" s="133"/>
      <c r="CQ28" s="32"/>
      <c r="CX28" s="62">
        <f t="shared" si="9"/>
        <v>205.00001</v>
      </c>
      <c r="CY28" s="24"/>
      <c r="CZ28" s="22"/>
      <c r="DA28" s="62">
        <f t="shared" si="7"/>
        <v>230</v>
      </c>
      <c r="DB28" s="62">
        <f t="shared" si="8"/>
        <v>230</v>
      </c>
      <c r="DC28" s="62" t="s">
        <v>109</v>
      </c>
      <c r="DD28" s="62">
        <v>15</v>
      </c>
      <c r="DE28" s="62">
        <v>1</v>
      </c>
      <c r="DF28" s="62">
        <f t="shared" si="6"/>
        <v>190</v>
      </c>
      <c r="DG28" s="62">
        <f t="shared" si="6"/>
        <v>230</v>
      </c>
      <c r="DH28" s="62">
        <f t="shared" si="6"/>
        <v>255</v>
      </c>
      <c r="DJ28" s="62" t="s">
        <v>106</v>
      </c>
      <c r="DK28" s="62">
        <v>215</v>
      </c>
      <c r="DL28" s="62">
        <v>255</v>
      </c>
      <c r="DM28" s="62">
        <v>290</v>
      </c>
      <c r="DN28" s="62">
        <v>170</v>
      </c>
      <c r="DO28" s="62">
        <v>205</v>
      </c>
      <c r="DP28" s="62">
        <v>230</v>
      </c>
      <c r="DR28" s="62">
        <f t="shared" si="1"/>
        <v>400.00000999999997</v>
      </c>
      <c r="DS28" s="62">
        <v>450</v>
      </c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F28" s="24" t="s">
        <v>110</v>
      </c>
      <c r="EG28" s="22">
        <f>DX84</f>
        <v>5</v>
      </c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</row>
    <row r="29" spans="1:150" ht="12" customHeight="1">
      <c r="A29" s="92"/>
      <c r="B29" s="106">
        <v>3</v>
      </c>
      <c r="C29" s="256"/>
      <c r="D29" s="253"/>
      <c r="E29" s="256" t="s">
        <v>12</v>
      </c>
      <c r="F29" s="255" t="s">
        <v>12</v>
      </c>
      <c r="G29" s="254" t="s">
        <v>394</v>
      </c>
      <c r="H29" s="123">
        <v>6000</v>
      </c>
      <c r="I29" s="108" t="str">
        <f t="shared" ref="I29:I69" si="11">U29</f>
        <v>L2</v>
      </c>
      <c r="J29" s="669">
        <v>1100</v>
      </c>
      <c r="K29" s="670" t="s">
        <v>394</v>
      </c>
      <c r="L29" s="675" t="s">
        <v>12</v>
      </c>
      <c r="M29" s="668" t="s">
        <v>12</v>
      </c>
      <c r="N29" s="671" t="s">
        <v>978</v>
      </c>
      <c r="O29" s="672" t="s">
        <v>979</v>
      </c>
      <c r="P29" s="106">
        <v>4</v>
      </c>
      <c r="Q29" s="110"/>
      <c r="T29" s="126">
        <v>1</v>
      </c>
      <c r="U29" s="126" t="s">
        <v>56</v>
      </c>
      <c r="W29" s="512"/>
      <c r="X29" s="512">
        <f>IF(T29=0,0,IF($O$15="1-PHASE",J29,IF($O$15="3-PHASE",J29,(H29+J29))))</f>
        <v>7100</v>
      </c>
      <c r="Y29" s="512"/>
      <c r="Z29" s="512"/>
      <c r="AA29" s="512"/>
      <c r="AB29" s="512">
        <f>IF(T29=0,0,IF($O$15="1-PHASE",0,IF($O$15="3-PHASE",0,IF(G29="G",H29,0))))</f>
        <v>6000</v>
      </c>
      <c r="AC29" s="512">
        <f>IF(T29=0,0,IF(K29="G",J29,0))</f>
        <v>1100</v>
      </c>
      <c r="AD29" s="512"/>
      <c r="AE29" s="512"/>
      <c r="AF29" s="513"/>
      <c r="AG29" s="513"/>
      <c r="AH29" s="513">
        <f>IF(T29=0,0,IF($O$15="1-PHASE",0,IF($O$15="3-PHASE",0,IF(G29="D",H29,0))))</f>
        <v>0</v>
      </c>
      <c r="AI29" s="513">
        <f>IF(T29=0,0,IF(K29="D",J29,0))</f>
        <v>0</v>
      </c>
      <c r="AJ29" s="513"/>
      <c r="AK29" s="513"/>
      <c r="AL29" s="514"/>
      <c r="AM29" s="514"/>
      <c r="AN29" s="514">
        <f>IF(T29=0,0,IF($O$15="1-PHASE",0,IF($O$15="3-PHASE",0,IF(G29="C",H29,0))))</f>
        <v>0</v>
      </c>
      <c r="AO29" s="514">
        <f>IF(T29=0,0,IF(K29="C",J29,0))</f>
        <v>0</v>
      </c>
      <c r="AP29" s="514"/>
      <c r="AQ29" s="514"/>
      <c r="AR29" s="334">
        <f>IF(T29=0,0,IF($O$15="1-PHASE",0,IF($O$15="3-PHASE",0,IF(F29="H",H29,0))))</f>
        <v>0</v>
      </c>
      <c r="AS29" s="133">
        <f t="shared" si="10"/>
        <v>0</v>
      </c>
      <c r="AT29" s="515"/>
      <c r="AU29" s="515"/>
      <c r="AV29" s="515">
        <f>IF(T29=0,0,IF($O$15="1-PHASE",0,IF($O$15="3-PHASE",0,IF(G29="M",H29,0))))</f>
        <v>0</v>
      </c>
      <c r="AW29" s="515">
        <f>IF(T29=0,0,IF(K29="M",J29,0))</f>
        <v>0</v>
      </c>
      <c r="AX29" s="515"/>
      <c r="AY29" s="515"/>
      <c r="BA29" s="516"/>
      <c r="BB29" s="516"/>
      <c r="BC29" s="516">
        <f>IF(T29=0,0,IF($O$15="1-PHASE",0,IF($O$15="3-PHASE",0,IF(G29="K",H29,0))))</f>
        <v>0</v>
      </c>
      <c r="BD29" s="516">
        <f>IF(T29=0,0,IF(K29="K",J29,0))</f>
        <v>0</v>
      </c>
      <c r="BE29" s="516"/>
      <c r="BF29" s="516"/>
      <c r="BK29" s="334"/>
      <c r="BL29" s="334"/>
      <c r="BM29" s="334">
        <f>IF(T29=0,0,IF($O$15="1-PHASE",0,IF($O$15="3-PHASE",0,IF(E29="N",H29,0))))</f>
        <v>0</v>
      </c>
      <c r="BN29" s="334">
        <f>IF(T29=0,0,IF(M29="N",J29,0))</f>
        <v>0</v>
      </c>
      <c r="BO29" s="516"/>
      <c r="BP29" s="516"/>
      <c r="BQ29" s="516">
        <f>IF(T29=0,0,IF($O$15="1-PHASE",0,IF($O$15="3-PHASE",0,IF(E29="N",H29,0))))</f>
        <v>0</v>
      </c>
      <c r="BR29" s="516">
        <f>IF(T29=0,0,IF(M29="N",J29,0))</f>
        <v>0</v>
      </c>
      <c r="BS29" s="516"/>
      <c r="BT29" s="516"/>
      <c r="BU29" s="133"/>
      <c r="BV29" s="133"/>
      <c r="BW29" s="133"/>
      <c r="BY29" s="130"/>
      <c r="BZ29" s="130"/>
      <c r="CA29" s="131">
        <v>23</v>
      </c>
      <c r="CB29" s="129">
        <f>IF(SUM(CB$7:CB28)=0,CC29,0)</f>
        <v>0</v>
      </c>
      <c r="CC29" s="132">
        <v>0</v>
      </c>
      <c r="CD29" s="133" t="s">
        <v>364</v>
      </c>
      <c r="CE29" s="133"/>
      <c r="CF29" s="133"/>
      <c r="CG29" s="133"/>
      <c r="CH29" s="132"/>
      <c r="CI29" s="132"/>
      <c r="CJ29" s="133"/>
      <c r="CK29" s="133"/>
      <c r="CL29" s="133" t="str">
        <f>'Output-Input'!H15</f>
        <v>3Y</v>
      </c>
      <c r="CM29" s="133"/>
      <c r="CN29" s="133"/>
      <c r="CO29" s="133"/>
      <c r="CP29" s="133"/>
      <c r="CQ29" s="32"/>
      <c r="CX29" s="62">
        <f t="shared" si="9"/>
        <v>230.00001</v>
      </c>
      <c r="CY29" s="24"/>
      <c r="CZ29" s="22"/>
      <c r="DA29" s="62">
        <f t="shared" si="7"/>
        <v>250</v>
      </c>
      <c r="DB29" s="62">
        <f t="shared" si="8"/>
        <v>250</v>
      </c>
      <c r="DC29" s="62" t="s">
        <v>112</v>
      </c>
      <c r="DD29" s="62">
        <v>16</v>
      </c>
      <c r="DE29" s="62">
        <v>1</v>
      </c>
      <c r="DF29" s="62">
        <f t="shared" si="6"/>
        <v>210</v>
      </c>
      <c r="DG29" s="62">
        <f t="shared" si="6"/>
        <v>250</v>
      </c>
      <c r="DH29" s="62">
        <f t="shared" si="6"/>
        <v>280</v>
      </c>
      <c r="DJ29" s="62" t="s">
        <v>109</v>
      </c>
      <c r="DK29" s="62">
        <v>240</v>
      </c>
      <c r="DL29" s="62">
        <v>285</v>
      </c>
      <c r="DM29" s="62">
        <v>320</v>
      </c>
      <c r="DN29" s="62">
        <v>190</v>
      </c>
      <c r="DO29" s="62">
        <v>230</v>
      </c>
      <c r="DP29" s="62">
        <v>255</v>
      </c>
      <c r="DR29" s="62">
        <f t="shared" si="1"/>
        <v>450.00000999999997</v>
      </c>
      <c r="DS29" s="62">
        <v>500</v>
      </c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</row>
    <row r="30" spans="1:150" ht="12" customHeight="1">
      <c r="A30" s="92"/>
      <c r="B30" s="106">
        <v>5</v>
      </c>
      <c r="C30" s="256"/>
      <c r="D30" s="253"/>
      <c r="E30" s="256" t="s">
        <v>12</v>
      </c>
      <c r="F30" s="255" t="s">
        <v>12</v>
      </c>
      <c r="G30" s="254" t="s">
        <v>394</v>
      </c>
      <c r="H30" s="123"/>
      <c r="I30" s="108" t="str">
        <f t="shared" si="11"/>
        <v>L3</v>
      </c>
      <c r="J30" s="669">
        <v>1100</v>
      </c>
      <c r="K30" s="670" t="s">
        <v>394</v>
      </c>
      <c r="L30" s="675" t="s">
        <v>12</v>
      </c>
      <c r="M30" s="668" t="s">
        <v>12</v>
      </c>
      <c r="N30" s="671" t="s">
        <v>978</v>
      </c>
      <c r="O30" s="672" t="s">
        <v>979</v>
      </c>
      <c r="P30" s="106">
        <v>6</v>
      </c>
      <c r="Q30" s="110"/>
      <c r="T30" s="126">
        <v>1</v>
      </c>
      <c r="U30" s="126" t="str">
        <f>IF($H$8=1,"L1","L3")</f>
        <v>L3</v>
      </c>
      <c r="W30" s="512" t="str">
        <f>IF(T30=0,0,IF($H$8=1,(H30+J30)," "))</f>
        <v xml:space="preserve"> </v>
      </c>
      <c r="X30" s="512"/>
      <c r="Y30" s="512">
        <f>IF(T30=0,0,IF($H$8=1," ",IF($O$15="3-PHASE",J30,IF(AND($O$15="1-PHASE",H8="3D"),J30,(H30+J30)))))</f>
        <v>1100</v>
      </c>
      <c r="Z30" s="512" t="str">
        <f>IF($H$8=1,IF(T30=0,0,IF(G30="G",H30,0))," ")</f>
        <v xml:space="preserve"> </v>
      </c>
      <c r="AA30" s="512" t="str">
        <f>IF($H$8=1,IF(T30=0,0,IF(K30="G",J30,0))," ")</f>
        <v xml:space="preserve"> </v>
      </c>
      <c r="AB30" s="512"/>
      <c r="AC30" s="512"/>
      <c r="AD30" s="512">
        <f>IF(T30=0,0,IF($H$8=1," ",IF($O$15="3-PHASE",0,IF(AND(O15="1-PHASE",H8="3D"),0,IF(G30="G",H30,0)))))</f>
        <v>0</v>
      </c>
      <c r="AE30" s="512">
        <f>IF(T30=0,0,IF($H$8=1," ",IF(K30="G",J30,0)))</f>
        <v>1100</v>
      </c>
      <c r="AF30" s="513" t="str">
        <f>IF($H$8=1,IF(T30=0,0,IF(G30="D",H30,0))," ")</f>
        <v xml:space="preserve"> </v>
      </c>
      <c r="AG30" s="513" t="str">
        <f>IF($H$8=1,IF(T30=0,0,IF(K30="D",J30,0))," ")</f>
        <v xml:space="preserve"> </v>
      </c>
      <c r="AH30" s="513"/>
      <c r="AI30" s="513"/>
      <c r="AJ30" s="513">
        <f>IF($H$8=1," ",IF($O$15="3-PHASE",0,IF(T30=0,0,IF(AND(O15="1-PHASE",H8="3D"),0,IF(G30="D",H30,0)))))</f>
        <v>0</v>
      </c>
      <c r="AK30" s="513">
        <f>IF($H$8=1," ",IF(T30=0,0,IF(K30="D",J30,0)))</f>
        <v>0</v>
      </c>
      <c r="AL30" s="514" t="str">
        <f>IF($H$8=1,IF(T30=0,0,IF(G30="C",H30,0))," ")</f>
        <v xml:space="preserve"> </v>
      </c>
      <c r="AM30" s="514" t="str">
        <f>IF($H$8=1,IF(T30=0,0,IF(K30="C",J30,0))," ")</f>
        <v xml:space="preserve"> </v>
      </c>
      <c r="AN30" s="514"/>
      <c r="AO30" s="514"/>
      <c r="AP30" s="514">
        <f>IF($H$8=1," ",IF(T30=0,0,IF($O$15="3-PHASE",0,IF(AND(O15="1-PHASE",H8="3D"),0,IF(G30="C",H30,0)))))</f>
        <v>0</v>
      </c>
      <c r="AQ30" s="514">
        <f>IF($H$8=1," ",IF(T30=0,0,IF(K30="C",J30,0)))</f>
        <v>0</v>
      </c>
      <c r="AR30" s="334">
        <f>IF(T30=0,0,IF($O$15="3-PHASE",0,IF(AND(O15="1-PHASE",H8="3D"),0,IF(F30="H",H30,0))))</f>
        <v>0</v>
      </c>
      <c r="AS30" s="133">
        <f t="shared" si="10"/>
        <v>0</v>
      </c>
      <c r="AT30" s="515" t="str">
        <f>IF(T30=0,0,IF($H$8=1,IF(G30="M",H30,0)," "))</f>
        <v xml:space="preserve"> </v>
      </c>
      <c r="AU30" s="515" t="str">
        <f>IF(T30=0,0,IF($H$8=1,IF(K30="M",J30,0)," "))</f>
        <v xml:space="preserve"> </v>
      </c>
      <c r="AV30" s="515"/>
      <c r="AW30" s="515"/>
      <c r="AX30" s="515">
        <f>IF(T30=0,0,IF($H$8=1," ",IF($O$15="3-PHASE",0,IF(AND(O15="1-PHASE",H8="3D"),0,IF(G30="M",H30,0)))))</f>
        <v>0</v>
      </c>
      <c r="AY30" s="515">
        <f>IF(T30=0,0,IF($H$8=1," ",IF(K30="M",J30,0)))</f>
        <v>0</v>
      </c>
      <c r="BA30" s="516" t="str">
        <f>IF(T30=0,0,IF($H$8=1,IF(G30="K",H30,0)," "))</f>
        <v xml:space="preserve"> </v>
      </c>
      <c r="BB30" s="516" t="str">
        <f>IF(T30=0,0,IF($H$8=1,IF(K30="K",J30,0)," "))</f>
        <v xml:space="preserve"> </v>
      </c>
      <c r="BC30" s="516"/>
      <c r="BD30" s="516"/>
      <c r="BE30" s="516">
        <f>IF(T30=0,0,IF($O$15="3-PHASE",0,IF($H$8=1," ",IF(AND(O15="1-PHASE",H8="3D"),0,IF(G30="K",H30,0)))))</f>
        <v>0</v>
      </c>
      <c r="BF30" s="516">
        <f>IF(T30=0,0,IF($H$8=1," ",IF(K30="K",J30,0)))</f>
        <v>0</v>
      </c>
      <c r="BG30" s="126"/>
      <c r="BI30" s="515">
        <f>IF(T30=0,0,IF($O$15="3-PHASE",0,IF(AND(O15="1-PHASE",H8="3D"),0,IF(E30="N",H30,0))))</f>
        <v>0</v>
      </c>
      <c r="BJ30" s="515">
        <f>IF(T30=0,0,IF(M30="N",J30,0))</f>
        <v>0</v>
      </c>
      <c r="BK30" s="334">
        <f>IF(T30=0,0,IF($O$15="3-PHASE",0,IF(AND(O15="1-PHASE",H8="3D"),0,IF(E30="N",H30,0))))</f>
        <v>0</v>
      </c>
      <c r="BL30" s="334">
        <f>IF(T30=0,0,IF(M30="N",J30,0))</f>
        <v>0</v>
      </c>
      <c r="BM30" s="334"/>
      <c r="BN30" s="334"/>
      <c r="BO30" s="516"/>
      <c r="BP30" s="516"/>
      <c r="BQ30" s="516"/>
      <c r="BR30" s="516"/>
      <c r="BS30" s="516">
        <f>IF(T30=0,0,IF($O$15="3-PHASE",0,IF(AND(O15="1-PHASE",H8="3D"),0,IF(E30="N",H30,0))))</f>
        <v>0</v>
      </c>
      <c r="BT30" s="516">
        <f>IF(T30=0,0,IF(M30="N",J30,0))</f>
        <v>0</v>
      </c>
      <c r="BU30" s="133"/>
      <c r="BV30" s="133"/>
      <c r="BW30" s="133"/>
      <c r="BY30" s="130"/>
      <c r="BZ30" s="130"/>
      <c r="CA30" s="131">
        <v>24</v>
      </c>
      <c r="CB30" s="129">
        <f>IF(SUM(CB$7:CB29)=0,CC30,0)</f>
        <v>0</v>
      </c>
      <c r="CC30" s="132">
        <f>IF(CH1&gt;0,0,IF(ISBLANK(H8)=TRUE,24,IF(CL13=99,24,IF(AND(H9="ROMEX",H8="3Y"),43,0))))</f>
        <v>0</v>
      </c>
      <c r="CD30" s="133" t="str">
        <f>IF(ISBLANK(H8)=TRUE,"ENTER PHASE",IF(CL13=99,"MAIN PANEL IS 1-PHASE",IF(AND(H9="ROMEX",H8="3Y"),"CHECK ENTRY","ENTER PHASE")))</f>
        <v>ENTER PHASE</v>
      </c>
      <c r="CE30" s="133"/>
      <c r="CF30" s="133"/>
      <c r="CG30" s="133" t="s">
        <v>392</v>
      </c>
      <c r="CH30" s="132"/>
      <c r="CI30" s="132"/>
      <c r="CJ30" s="133" t="s">
        <v>21</v>
      </c>
      <c r="CK30" s="133" t="s">
        <v>192</v>
      </c>
      <c r="CL30" s="133">
        <f>'Output-Input'!K15</f>
        <v>0</v>
      </c>
      <c r="CM30" s="133"/>
      <c r="CN30" s="133" t="str">
        <f>'Output-Input'!P15</f>
        <v>SOURCE PHASE IS 3Y</v>
      </c>
      <c r="CO30" s="133"/>
      <c r="CP30" s="133"/>
      <c r="CQ30" s="32"/>
      <c r="CU30" s="55" t="s">
        <v>98</v>
      </c>
      <c r="CV30" s="56">
        <f>EG27</f>
        <v>1.25</v>
      </c>
      <c r="CX30" s="62">
        <f t="shared" si="9"/>
        <v>250.00001</v>
      </c>
      <c r="CY30" s="24"/>
      <c r="CZ30" s="22"/>
      <c r="DA30" s="62">
        <f t="shared" si="7"/>
        <v>270</v>
      </c>
      <c r="DB30" s="62">
        <f t="shared" si="8"/>
        <v>270</v>
      </c>
      <c r="DC30" s="62" t="s">
        <v>114</v>
      </c>
      <c r="DD30" s="62">
        <v>17</v>
      </c>
      <c r="DE30" s="62">
        <v>1</v>
      </c>
      <c r="DF30" s="62">
        <f t="shared" si="6"/>
        <v>225</v>
      </c>
      <c r="DG30" s="62">
        <f t="shared" si="6"/>
        <v>270</v>
      </c>
      <c r="DH30" s="62">
        <f t="shared" si="6"/>
        <v>305</v>
      </c>
      <c r="DJ30" s="62" t="s">
        <v>112</v>
      </c>
      <c r="DK30" s="62">
        <v>260</v>
      </c>
      <c r="DL30" s="62">
        <v>310</v>
      </c>
      <c r="DM30" s="62">
        <v>350</v>
      </c>
      <c r="DN30" s="62">
        <v>210</v>
      </c>
      <c r="DO30" s="62">
        <v>250</v>
      </c>
      <c r="DP30" s="62">
        <v>280</v>
      </c>
      <c r="DR30" s="62">
        <f t="shared" si="1"/>
        <v>500.00000999999997</v>
      </c>
      <c r="DS30" s="62">
        <v>600</v>
      </c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F30" s="274"/>
      <c r="EG30" s="274"/>
      <c r="EH30" s="274"/>
      <c r="EI30" s="274"/>
      <c r="EJ30" s="274"/>
      <c r="EK30" s="58"/>
      <c r="EL30" s="275"/>
      <c r="EM30" s="58"/>
      <c r="EN30" s="58" t="str">
        <f>EI10</f>
        <v>RIGID</v>
      </c>
      <c r="EO30" s="58" t="s">
        <v>32</v>
      </c>
      <c r="EP30" s="22"/>
      <c r="EQ30" s="22"/>
      <c r="ER30" s="22"/>
      <c r="ES30" s="22"/>
    </row>
    <row r="31" spans="1:150" ht="12" customHeight="1">
      <c r="A31" s="92"/>
      <c r="B31" s="106">
        <v>7</v>
      </c>
      <c r="C31" s="256"/>
      <c r="D31" s="253"/>
      <c r="E31" s="256" t="s">
        <v>12</v>
      </c>
      <c r="F31" s="255" t="s">
        <v>12</v>
      </c>
      <c r="G31" s="254" t="s">
        <v>394</v>
      </c>
      <c r="H31" s="123"/>
      <c r="I31" s="108" t="str">
        <f t="shared" si="11"/>
        <v>L1</v>
      </c>
      <c r="J31" s="669"/>
      <c r="K31" s="670" t="s">
        <v>394</v>
      </c>
      <c r="L31" s="675" t="s">
        <v>12</v>
      </c>
      <c r="M31" s="668" t="s">
        <v>12</v>
      </c>
      <c r="N31" s="671"/>
      <c r="O31" s="672"/>
      <c r="P31" s="106">
        <v>8</v>
      </c>
      <c r="Q31" s="110"/>
      <c r="T31" s="126">
        <f>IF($H$5&gt;6,1,0)</f>
        <v>1</v>
      </c>
      <c r="U31" s="126" t="str">
        <f>IF($H$8=1,"L2","L1")</f>
        <v>L1</v>
      </c>
      <c r="W31" s="133">
        <f>IF(T31=0,0,IF($H$8=1," ",(H31+J31)))</f>
        <v>0</v>
      </c>
      <c r="X31" s="133" t="str">
        <f>IF(T31=0,0,IF($H$8=1,(H31+J31)," "))</f>
        <v xml:space="preserve"> </v>
      </c>
      <c r="Z31" s="133">
        <f>IF($H$8=1," ",IF(T31=0,0,IF(G31="G",H31,0)))</f>
        <v>0</v>
      </c>
      <c r="AA31" s="133">
        <f>IF($H$8=1," ",IF(T31=0,0,IF(K31="G",J31,0)))</f>
        <v>0</v>
      </c>
      <c r="AB31" s="133" t="str">
        <f>IF($H$8=1,IF(T31=0,0,IF(G31="G",H31,0))," ")</f>
        <v xml:space="preserve"> </v>
      </c>
      <c r="AC31" s="133" t="str">
        <f>IF($H$8=1,IF(T31=0,0,IF(K31="G",J31,0))," ")</f>
        <v xml:space="preserve"> </v>
      </c>
      <c r="AF31" s="126">
        <f>IF($H$8=1," ",IF(T31=0,0,IF(G31="D",H31,0)))</f>
        <v>0</v>
      </c>
      <c r="AG31" s="126">
        <f>IF($H$8=1," ",IF(T31=0,0,IF(K31="D",J31,0)))</f>
        <v>0</v>
      </c>
      <c r="AH31" s="126" t="str">
        <f>IF($H$8=1,IF(T31=0,0,IF(G31="D",H31,0))," ")</f>
        <v xml:space="preserve"> </v>
      </c>
      <c r="AI31" s="126" t="str">
        <f>IF($H$8=1,IF(T31=0,0,IF(K31="D",J31,0))," ")</f>
        <v xml:space="preserve"> </v>
      </c>
      <c r="AL31" s="126">
        <f>IF($H$8=1," ",IF(T31=0,0,IF(G31="C",H31,0)))</f>
        <v>0</v>
      </c>
      <c r="AM31" s="126">
        <f>IF($H$8=1," ",IF(T31=0,0,IF(K31="C",J31,0)))</f>
        <v>0</v>
      </c>
      <c r="AN31" s="126" t="str">
        <f>IF($H$8=1,IF(T31=0,0,IF(G31="C",H31,0))," ")</f>
        <v xml:space="preserve"> </v>
      </c>
      <c r="AO31" s="126" t="str">
        <f>IF($H$8=1,IF(T31=0,0,IF(K31="C",J31,0))," ")</f>
        <v xml:space="preserve"> </v>
      </c>
      <c r="AR31" s="133">
        <f t="shared" ref="AR31:AR69" si="12">IF(T31=0,0,IF(F31="H",H31,0))</f>
        <v>0</v>
      </c>
      <c r="AS31" s="133">
        <f t="shared" si="10"/>
        <v>0</v>
      </c>
      <c r="AT31" s="133">
        <f>IF(T31=0,0,IF($H$8=1," ",IF(G31="M",H31,0)))</f>
        <v>0</v>
      </c>
      <c r="AU31" s="133">
        <f>IF(T31=0,0,IF($H$8=1," ",IF(K31="M",J31,0)))</f>
        <v>0</v>
      </c>
      <c r="AV31" s="133" t="str">
        <f>IF(T31=0,0,IF($H$8=1,IF(G31="M",H31,0)," "))</f>
        <v xml:space="preserve"> </v>
      </c>
      <c r="AW31" s="133" t="str">
        <f>IF(T31=0,0,IF($H$8=1,IF(K31="M",J31,0)," "))</f>
        <v xml:space="preserve"> </v>
      </c>
      <c r="BA31" s="133">
        <f>IF(T31=0,0,IF($H$8=1," ",IF(G31="K",H31,0)))</f>
        <v>0</v>
      </c>
      <c r="BB31" s="133">
        <f>IF(T31=0,0,IF($H$8=1," ",IF(K31="K",J31,0)))</f>
        <v>0</v>
      </c>
      <c r="BC31" s="133" t="str">
        <f>IF(T31=0,0,IF($H$8=1,IF(G31="K",H31,0)," "))</f>
        <v xml:space="preserve"> </v>
      </c>
      <c r="BD31" s="133" t="str">
        <f>IF(T31=0,0,IF($H$8=1,IF(K31="K",J31,0)," "))</f>
        <v xml:space="preserve"> </v>
      </c>
      <c r="BE31" s="133"/>
      <c r="BF31" s="133"/>
      <c r="BG31" s="126">
        <f>IF(T31=0,0,IF(E31="N",H31,0))</f>
        <v>0</v>
      </c>
      <c r="BH31" s="133">
        <f>IF(T31=0,0,IF(M31="N",J31,0))</f>
        <v>0</v>
      </c>
      <c r="BK31" s="133"/>
      <c r="BL31" s="133"/>
      <c r="BM31" s="133">
        <f>IF(T31=0,0,IF(E31="N",H31,0))</f>
        <v>0</v>
      </c>
      <c r="BN31" s="133">
        <f>IF(T31=0,0,IF(M31="N",J31,0))</f>
        <v>0</v>
      </c>
      <c r="BO31" s="133">
        <f>IF(T31=0,0,IF(E31="N",H31,0))</f>
        <v>0</v>
      </c>
      <c r="BP31" s="133">
        <f>IF(T31=0,0,IF(M31="N",J31,0))</f>
        <v>0</v>
      </c>
      <c r="BQ31" s="133"/>
      <c r="BR31" s="133"/>
      <c r="BS31" s="133"/>
      <c r="BT31" s="133"/>
      <c r="BU31" s="133"/>
      <c r="BV31" s="133"/>
      <c r="BW31" s="133"/>
      <c r="BY31" s="130"/>
      <c r="BZ31" s="130"/>
      <c r="CA31" s="131">
        <v>25</v>
      </c>
      <c r="CB31" s="129">
        <f>IF(SUM(CB$7:CB30)=0,CC31,0)</f>
        <v>0</v>
      </c>
      <c r="CC31" s="132">
        <f>IF(Calcs!U27&gt;0,25,0)</f>
        <v>0</v>
      </c>
      <c r="CD31" s="133" t="s">
        <v>525</v>
      </c>
      <c r="CE31" s="133"/>
      <c r="CF31" s="133"/>
      <c r="CG31" s="133"/>
      <c r="CH31" s="132"/>
      <c r="CI31" s="132"/>
      <c r="CJ31" s="133"/>
      <c r="CK31" s="133"/>
      <c r="CL31" s="133"/>
      <c r="CM31" s="133"/>
      <c r="CN31" s="133"/>
      <c r="CO31" s="133"/>
      <c r="CP31" s="133"/>
      <c r="CQ31" s="32"/>
      <c r="CU31" s="55"/>
      <c r="CV31" s="56" t="str">
        <f>IF(CV30=0.5,"1/2''",IF(CV30=0.75,"3/4''",IF(CV30=1,"1''",IF(CV30=1.25,"1 1/4''",IF(CV30=1.5,"1 1/2''",IF(CV30=2,"2''",0))))))</f>
        <v>1 1/4''</v>
      </c>
      <c r="CX31" s="57">
        <f t="shared" si="9"/>
        <v>270.00000999999997</v>
      </c>
      <c r="CY31" s="24"/>
      <c r="CZ31" s="22"/>
      <c r="DA31" s="57">
        <f t="shared" si="7"/>
        <v>310</v>
      </c>
      <c r="DB31" s="57">
        <f t="shared" si="8"/>
        <v>310</v>
      </c>
      <c r="DC31" s="57" t="s">
        <v>116</v>
      </c>
      <c r="DD31" s="57">
        <v>18</v>
      </c>
      <c r="DE31" s="57">
        <v>1</v>
      </c>
      <c r="DF31" s="57">
        <f t="shared" si="6"/>
        <v>260</v>
      </c>
      <c r="DG31" s="57">
        <f t="shared" si="6"/>
        <v>310</v>
      </c>
      <c r="DH31" s="57">
        <f t="shared" si="6"/>
        <v>350</v>
      </c>
      <c r="DJ31" s="62" t="s">
        <v>114</v>
      </c>
      <c r="DK31" s="62">
        <v>280</v>
      </c>
      <c r="DL31" s="62">
        <v>335</v>
      </c>
      <c r="DM31" s="62">
        <v>380</v>
      </c>
      <c r="DN31" s="62">
        <v>225</v>
      </c>
      <c r="DO31" s="62">
        <v>270</v>
      </c>
      <c r="DP31" s="62">
        <v>305</v>
      </c>
      <c r="DR31" s="62">
        <f t="shared" si="1"/>
        <v>600.00000999999997</v>
      </c>
      <c r="DS31" s="62">
        <v>700</v>
      </c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F31" s="276"/>
      <c r="EG31" s="276"/>
      <c r="EH31" s="276"/>
      <c r="EI31" s="276" t="s">
        <v>497</v>
      </c>
      <c r="EJ31" s="276" t="s">
        <v>117</v>
      </c>
      <c r="EK31" s="62" t="s">
        <v>118</v>
      </c>
      <c r="EL31" s="277"/>
      <c r="EM31" s="62"/>
      <c r="EN31" s="62" t="str">
        <f>EI11</f>
        <v>AREA</v>
      </c>
      <c r="EO31" s="62" t="s">
        <v>38</v>
      </c>
      <c r="EP31" s="22"/>
      <c r="EQ31" s="22"/>
      <c r="ER31" s="22"/>
      <c r="ES31" s="22"/>
    </row>
    <row r="32" spans="1:150" ht="12" customHeight="1">
      <c r="A32" s="92"/>
      <c r="B32" s="106">
        <v>9</v>
      </c>
      <c r="C32" s="256"/>
      <c r="D32" s="253"/>
      <c r="E32" s="256" t="s">
        <v>12</v>
      </c>
      <c r="F32" s="255" t="s">
        <v>12</v>
      </c>
      <c r="G32" s="254" t="s">
        <v>394</v>
      </c>
      <c r="H32" s="123"/>
      <c r="I32" s="108" t="str">
        <f t="shared" si="11"/>
        <v>L2</v>
      </c>
      <c r="J32" s="669"/>
      <c r="K32" s="670" t="s">
        <v>394</v>
      </c>
      <c r="L32" s="675" t="s">
        <v>12</v>
      </c>
      <c r="M32" s="668" t="s">
        <v>12</v>
      </c>
      <c r="N32" s="671"/>
      <c r="O32" s="672"/>
      <c r="P32" s="106">
        <v>10</v>
      </c>
      <c r="Q32" s="110"/>
      <c r="T32" s="126">
        <f>IF($H$5&gt;8,1,0)</f>
        <v>1</v>
      </c>
      <c r="U32" s="126" t="str">
        <f>IF($H$8=1,"L1","L2")</f>
        <v>L2</v>
      </c>
      <c r="W32" s="133" t="str">
        <f>IF(T32=0,0,IF($H$8=1,(H32+J32)," "))</f>
        <v xml:space="preserve"> </v>
      </c>
      <c r="X32" s="133">
        <f>IF(T32=0,0,IF($H$8=1," ",(H32+J32)))</f>
        <v>0</v>
      </c>
      <c r="Z32" s="133" t="str">
        <f>IF($H$8=1,IF(T32=0,0,IF(G32="G",H32,0))," ")</f>
        <v xml:space="preserve"> </v>
      </c>
      <c r="AA32" s="133" t="str">
        <f>IF($H$8=1,IF(T32=0,0,IF(K32="G",J32,0))," ")</f>
        <v xml:space="preserve"> </v>
      </c>
      <c r="AB32" s="133">
        <f>IF($H$8=1," ",IF(T32=0,0,IF(G32="G",H32,0)))</f>
        <v>0</v>
      </c>
      <c r="AC32" s="133">
        <f>IF($H$8=1," ",IF(T32=0,0,IF(K32="G",J32,0)))</f>
        <v>0</v>
      </c>
      <c r="AF32" s="126" t="str">
        <f>IF($H$8=1,IF(T32=0,0,IF(G32="D",H32,0))," ")</f>
        <v xml:space="preserve"> </v>
      </c>
      <c r="AG32" s="126" t="str">
        <f>IF($H$8=1,IF(T32=0,0,IF(K32="D",J32,0))," ")</f>
        <v xml:space="preserve"> </v>
      </c>
      <c r="AH32" s="126">
        <f>IF($H$8=1," ",IF(T32=0,0,IF(G32="D",H32,0)))</f>
        <v>0</v>
      </c>
      <c r="AI32" s="126">
        <f>IF($H$8=1," ",IF(T32=0,0,IF(K32="D",J32,0)))</f>
        <v>0</v>
      </c>
      <c r="AL32" s="126" t="str">
        <f>IF($H$8=1,IF(T32=0,0,IF(G32="C",H32,0))," ")</f>
        <v xml:space="preserve"> </v>
      </c>
      <c r="AM32" s="126" t="str">
        <f>IF($H$8=1,IF(T32=0,0,IF(K32="C",J32,0))," ")</f>
        <v xml:space="preserve"> </v>
      </c>
      <c r="AN32" s="126">
        <f>IF($H$8=1," ",IF(T32=0,0,IF(G32="C",H32,0)))</f>
        <v>0</v>
      </c>
      <c r="AO32" s="126">
        <f>IF($H$8=1," ",IF(T32=0,0,IF(K32="C",J32,0)))</f>
        <v>0</v>
      </c>
      <c r="AR32" s="133">
        <f t="shared" si="12"/>
        <v>0</v>
      </c>
      <c r="AS32" s="133">
        <f t="shared" si="10"/>
        <v>0</v>
      </c>
      <c r="AT32" s="133" t="str">
        <f>IF(T32=0,0,IF($H$8=1,IF(G32="M",H32,0)," "))</f>
        <v xml:space="preserve"> </v>
      </c>
      <c r="AU32" s="133" t="str">
        <f>IF(T32=0,0,IF($H$8=1,IF(K32="M",J32,0)," "))</f>
        <v xml:space="preserve"> </v>
      </c>
      <c r="AV32" s="133">
        <f>IF(T32=0,0,IF($H$8=1," ",IF(G32="M",H32,0)))</f>
        <v>0</v>
      </c>
      <c r="AW32" s="133">
        <f>IF(T32=0,0,IF($H$8=1," ",IF(K32="M",J32,0)))</f>
        <v>0</v>
      </c>
      <c r="BA32" s="133" t="str">
        <f>IF(T32=0,0,IF($H$8=1,IF(G32="K",H32,0)," "))</f>
        <v xml:space="preserve"> </v>
      </c>
      <c r="BB32" s="133" t="str">
        <f>IF(T32=0,0,IF($H$8=1,IF(K32="K",J32,0)," "))</f>
        <v xml:space="preserve"> </v>
      </c>
      <c r="BC32" s="133">
        <f>IF(T32=0,0,IF($H$8=1," ",IF(G32="K",H32,0)))</f>
        <v>0</v>
      </c>
      <c r="BD32" s="133">
        <f>IF(T32=0,0,IF($H$8=1," ",IF(K32="K",J32,0)))</f>
        <v>0</v>
      </c>
      <c r="BE32" s="133"/>
      <c r="BF32" s="133"/>
      <c r="BK32" s="133">
        <f>IF(T32=0,0,IF(E32="N",H32,0))</f>
        <v>0</v>
      </c>
      <c r="BL32" s="133">
        <f>IF(T32=0,0,IF(M32="N",J32,0))</f>
        <v>0</v>
      </c>
      <c r="BM32" s="133"/>
      <c r="BN32" s="133"/>
      <c r="BO32" s="133"/>
      <c r="BP32" s="133"/>
      <c r="BQ32" s="133">
        <f>IF(T32=0,0,IF(E32="N",H32,0))</f>
        <v>0</v>
      </c>
      <c r="BR32" s="133">
        <f>IF(T32=0,0,IF(M32="N",J32,0))</f>
        <v>0</v>
      </c>
      <c r="BS32" s="133"/>
      <c r="BT32" s="133"/>
      <c r="BU32" s="133"/>
      <c r="BV32" s="133"/>
      <c r="BW32" s="133"/>
      <c r="BY32" s="130"/>
      <c r="BZ32" s="130"/>
      <c r="CA32" s="131">
        <v>26</v>
      </c>
      <c r="CB32" s="129">
        <f>IF(SUM(CB$7:CB31)=0,CC32,0)</f>
        <v>0</v>
      </c>
      <c r="CC32" s="319">
        <f>IF(ISBLANK(D3)=TRUE,26,0)</f>
        <v>0</v>
      </c>
      <c r="CD32" s="133" t="s">
        <v>569</v>
      </c>
      <c r="CE32" s="133"/>
      <c r="CF32" s="133"/>
      <c r="CG32" s="133"/>
      <c r="CH32" s="132"/>
      <c r="CI32" s="132"/>
      <c r="CJ32" s="133"/>
      <c r="CK32" s="133"/>
      <c r="CL32" s="133"/>
      <c r="CM32" s="133"/>
      <c r="CN32" s="133"/>
      <c r="CO32" s="133"/>
      <c r="CP32" s="133"/>
      <c r="CQ32" s="32"/>
      <c r="CU32" s="55"/>
      <c r="CV32" s="56">
        <f>IF(CV30=2.5,"2 1/2''",IF(CV30=3,"3''",IF(CV30=3.5,"3 1/2''",IF(CV30=4,"4''",0))))</f>
        <v>0</v>
      </c>
      <c r="CX32" s="62">
        <f t="shared" si="9"/>
        <v>310.00000999999997</v>
      </c>
      <c r="CY32" s="24"/>
      <c r="CZ32" s="22"/>
      <c r="DA32" s="62">
        <f t="shared" si="7"/>
        <v>360</v>
      </c>
      <c r="DB32" s="62">
        <f t="shared" ref="DB32:DB37" si="13">DB26*DE32</f>
        <v>360</v>
      </c>
      <c r="DC32" s="62" t="s">
        <v>103</v>
      </c>
      <c r="DD32" s="62">
        <v>13</v>
      </c>
      <c r="DE32" s="62">
        <v>2</v>
      </c>
      <c r="DF32" s="62"/>
      <c r="DG32" s="62"/>
      <c r="DH32" s="62"/>
      <c r="DJ32" s="57" t="s">
        <v>116</v>
      </c>
      <c r="DK32" s="57">
        <v>320</v>
      </c>
      <c r="DL32" s="57">
        <v>380</v>
      </c>
      <c r="DM32" s="57">
        <v>430</v>
      </c>
      <c r="DN32" s="57">
        <v>260</v>
      </c>
      <c r="DO32" s="57">
        <v>310</v>
      </c>
      <c r="DP32" s="57">
        <v>350</v>
      </c>
      <c r="DR32" s="62">
        <f t="shared" si="1"/>
        <v>700.00000999999997</v>
      </c>
      <c r="DS32" s="62">
        <v>800</v>
      </c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F32" s="276"/>
      <c r="EG32" s="276"/>
      <c r="EH32" s="276"/>
      <c r="EI32" s="276"/>
      <c r="EJ32" s="276"/>
      <c r="EK32" s="62"/>
      <c r="EL32" s="277"/>
      <c r="EM32" s="62"/>
      <c r="EN32" s="62" t="str">
        <f>EI12</f>
        <v>SQ IN</v>
      </c>
      <c r="EO32" s="62"/>
      <c r="EP32" s="22"/>
      <c r="EQ32" s="22"/>
      <c r="ER32" s="22"/>
      <c r="ES32" s="22"/>
    </row>
    <row r="33" spans="1:157" ht="12" customHeight="1">
      <c r="A33" s="92"/>
      <c r="B33" s="106">
        <v>11</v>
      </c>
      <c r="C33" s="256"/>
      <c r="D33" s="253"/>
      <c r="E33" s="256" t="s">
        <v>12</v>
      </c>
      <c r="F33" s="255" t="s">
        <v>12</v>
      </c>
      <c r="G33" s="254" t="s">
        <v>394</v>
      </c>
      <c r="H33" s="123"/>
      <c r="I33" s="108" t="str">
        <f t="shared" si="11"/>
        <v>L3</v>
      </c>
      <c r="J33" s="669"/>
      <c r="K33" s="670" t="s">
        <v>394</v>
      </c>
      <c r="L33" s="675" t="s">
        <v>12</v>
      </c>
      <c r="M33" s="668" t="s">
        <v>12</v>
      </c>
      <c r="N33" s="671"/>
      <c r="O33" s="672"/>
      <c r="P33" s="106">
        <v>12</v>
      </c>
      <c r="Q33" s="110"/>
      <c r="T33" s="126">
        <f>IF($H$5&gt;10,1,0)</f>
        <v>1</v>
      </c>
      <c r="U33" s="126" t="str">
        <f>IF($H$8=1,"L2","L3")</f>
        <v>L3</v>
      </c>
      <c r="X33" s="133" t="str">
        <f>IF(T33=0,0,IF($H$8=1,(H33+J33)," "))</f>
        <v xml:space="preserve"> </v>
      </c>
      <c r="Y33" s="133">
        <f>IF(T33=0,0,IF($H$8=1," ",(H33+J33)))</f>
        <v>0</v>
      </c>
      <c r="AB33" s="133" t="str">
        <f>IF($H$8=1,IF(T33=0,0,IF(G33="G",H33,0))," ")</f>
        <v xml:space="preserve"> </v>
      </c>
      <c r="AC33" s="133" t="str">
        <f>IF($H$8=1,IF(T33=0,0,IF(K33="G",J33,0))," ")</f>
        <v xml:space="preserve"> </v>
      </c>
      <c r="AD33" s="133">
        <f>IF($H$8=1," ",IF(T33=0,0,IF(G33="G",H33,0)))</f>
        <v>0</v>
      </c>
      <c r="AE33" s="133">
        <f>IF($H$8=1," ",IF(T33=0,0,IF(K33="G",J33,0)))</f>
        <v>0</v>
      </c>
      <c r="AH33" s="126" t="str">
        <f>IF($H$8=1,IF(T33=0,0,IF(G33="D",H33,0))," ")</f>
        <v xml:space="preserve"> </v>
      </c>
      <c r="AI33" s="126" t="str">
        <f>IF($H$8=1,IF(T33=0,0,IF(K33="D",J33,0))," ")</f>
        <v xml:space="preserve"> </v>
      </c>
      <c r="AJ33" s="126">
        <f>IF($H$8=1," ",IF(T33=0,0,IF(G33="D",H33,0)))</f>
        <v>0</v>
      </c>
      <c r="AK33" s="126">
        <f>IF($H$8=1," ",IF(T33=0,0,IF(K33="D",J33,0)))</f>
        <v>0</v>
      </c>
      <c r="AN33" s="126" t="str">
        <f>IF($H$8=1,IF(T33=0,0,IF(G33="C",H33,0))," ")</f>
        <v xml:space="preserve"> </v>
      </c>
      <c r="AO33" s="126" t="str">
        <f>IF($H$8=1,IF(T33=0,0,IF(K33="C",J33,0))," ")</f>
        <v xml:space="preserve"> </v>
      </c>
      <c r="AP33" s="126">
        <f>IF($H$8=1," ",IF(T33=0,0,IF(G33="C",H33,0)))</f>
        <v>0</v>
      </c>
      <c r="AQ33" s="126">
        <f>IF($H$8=1," ",IF(T33=0,0,IF(K33="C",J33,0)))</f>
        <v>0</v>
      </c>
      <c r="AR33" s="133">
        <f t="shared" si="12"/>
        <v>0</v>
      </c>
      <c r="AS33" s="133">
        <f t="shared" si="10"/>
        <v>0</v>
      </c>
      <c r="AV33" s="133" t="str">
        <f>IF(T33=0,0,IF($H$8=1,IF(G33="M",H33,0)," "))</f>
        <v xml:space="preserve"> </v>
      </c>
      <c r="AW33" s="133" t="str">
        <f>IF(T33=0,0,IF($H$8=1,IF(K33="M",J33,0)," "))</f>
        <v xml:space="preserve"> </v>
      </c>
      <c r="AX33" s="133">
        <f>IF(T33=0,0,IF($H$8=1," ",IF(G33="M",H33,0)))</f>
        <v>0</v>
      </c>
      <c r="AY33" s="133">
        <f>IF(T33=0,0,IF($H$8=1," ",IF(K33="M",J33,0)))</f>
        <v>0</v>
      </c>
      <c r="BA33" s="133"/>
      <c r="BB33" s="133"/>
      <c r="BC33" s="133" t="str">
        <f>IF(T33=0,0,IF($H$8=1,IF(G33="K",H33,0)," "))</f>
        <v xml:space="preserve"> </v>
      </c>
      <c r="BD33" s="133" t="str">
        <f>IF(T33=0,0,IF($H$8=1,IF(K33="K",J33,0)," "))</f>
        <v xml:space="preserve"> </v>
      </c>
      <c r="BE33" s="133">
        <f>IF(T33=0,0,IF($H$8=1," ",IF(G33="K",H33,0)))</f>
        <v>0</v>
      </c>
      <c r="BF33" s="133">
        <f>IF(T33=0,0,IF($H$8=1," ",IF(K33="K",J33,0)))</f>
        <v>0</v>
      </c>
      <c r="BG33" s="126"/>
      <c r="BI33" s="133">
        <f>IF(T33=0,0,IF(E33="N",H33,0))</f>
        <v>0</v>
      </c>
      <c r="BJ33" s="133">
        <f>IF(T33=0,0,IF(M33="N",J33,0))</f>
        <v>0</v>
      </c>
      <c r="BK33" s="133"/>
      <c r="BL33" s="133"/>
      <c r="BM33" s="133">
        <f>IF(T33=0,0,IF(E33="N",H33,0))</f>
        <v>0</v>
      </c>
      <c r="BN33" s="133">
        <f>IF(T33=0,0,IF(M33="N",J33,0))</f>
        <v>0</v>
      </c>
      <c r="BO33" s="133"/>
      <c r="BP33" s="133"/>
      <c r="BQ33" s="133"/>
      <c r="BR33" s="133"/>
      <c r="BS33" s="133">
        <f>IF(T33=0,0,IF(E33="N",H33,0))</f>
        <v>0</v>
      </c>
      <c r="BT33" s="133">
        <f>IF(T33=0,0,IF(M33="N",J33,0))</f>
        <v>0</v>
      </c>
      <c r="BU33" s="133"/>
      <c r="BV33" s="133"/>
      <c r="BW33" s="133"/>
      <c r="BY33" s="130"/>
      <c r="BZ33" s="130"/>
      <c r="CA33" s="131">
        <v>27</v>
      </c>
      <c r="CB33" s="129">
        <f>IF(SUM(CB$7:CB32)=0,CC33,0)</f>
        <v>0</v>
      </c>
      <c r="CC33" s="319">
        <f>IF(ISBLANK(D4)=TRUE,27,0)</f>
        <v>0</v>
      </c>
      <c r="CD33" s="133" t="s">
        <v>570</v>
      </c>
      <c r="CE33" s="133"/>
      <c r="CF33" s="133"/>
      <c r="CG33" s="133"/>
      <c r="CH33" s="132"/>
      <c r="CI33" s="132"/>
      <c r="CJ33" s="133"/>
      <c r="CK33" s="133"/>
      <c r="CL33" s="133"/>
      <c r="CM33" s="133"/>
      <c r="CN33" s="133"/>
      <c r="CO33" s="133"/>
      <c r="CP33" s="133"/>
      <c r="CQ33" s="32"/>
      <c r="CU33" s="55"/>
      <c r="CV33" s="56" t="str">
        <f>IF(CV30&gt;2,CV32,CV31)</f>
        <v>1 1/4''</v>
      </c>
      <c r="CX33" s="62">
        <f t="shared" si="9"/>
        <v>360.00000999999997</v>
      </c>
      <c r="CY33" s="24"/>
      <c r="CZ33" s="22"/>
      <c r="DA33" s="62">
        <f t="shared" si="7"/>
        <v>410</v>
      </c>
      <c r="DB33" s="62">
        <f t="shared" si="13"/>
        <v>410</v>
      </c>
      <c r="DC33" s="62" t="s">
        <v>106</v>
      </c>
      <c r="DD33" s="62">
        <v>14</v>
      </c>
      <c r="DE33" s="62">
        <v>2</v>
      </c>
      <c r="DF33" s="62"/>
      <c r="DG33" s="62"/>
      <c r="DH33" s="62"/>
      <c r="DJ33" s="22"/>
      <c r="DK33" s="22"/>
      <c r="DL33" s="22"/>
      <c r="DR33" s="62">
        <f t="shared" si="1"/>
        <v>800.00000999999997</v>
      </c>
      <c r="DS33" s="62">
        <v>1000</v>
      </c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F33" s="276">
        <v>1</v>
      </c>
      <c r="EG33" s="276">
        <f>IF(EH33&gt;0,1,0)</f>
        <v>1</v>
      </c>
      <c r="EH33" s="276" t="str">
        <f>IF(EG$28=2,EI33,IF(EG$28=3,EJ33,IF(EG$28=4,EK33,"ERR")))</f>
        <v>ERR</v>
      </c>
      <c r="EI33" s="276">
        <f>IF(EL33&gt;1.799999,2,0)</f>
        <v>0</v>
      </c>
      <c r="EJ33" s="276">
        <f>IF(EL33&gt;2.799999,3,0)</f>
        <v>0</v>
      </c>
      <c r="EK33" s="62">
        <f>IF(EL33&gt;3.799999,4,0)</f>
        <v>0</v>
      </c>
      <c r="EL33" s="64">
        <f t="shared" ref="EL33:EL42" si="14">EN33/EM33</f>
        <v>1.5242718446601944</v>
      </c>
      <c r="EM33" s="62">
        <f t="shared" ref="EM33:EM42" si="15">$DS$76</f>
        <v>8.2400000000000001E-2</v>
      </c>
      <c r="EN33" s="64">
        <f t="shared" ref="EN33:EN42" si="16">EG13</f>
        <v>0.12560000000000002</v>
      </c>
      <c r="EO33" s="62">
        <v>0.5</v>
      </c>
      <c r="EP33" s="22"/>
      <c r="EQ33" s="22"/>
      <c r="ER33" s="22"/>
      <c r="ES33" s="22"/>
    </row>
    <row r="34" spans="1:157" ht="12" customHeight="1">
      <c r="A34" s="92"/>
      <c r="B34" s="106">
        <v>13</v>
      </c>
      <c r="C34" s="256"/>
      <c r="D34" s="253"/>
      <c r="E34" s="256" t="s">
        <v>12</v>
      </c>
      <c r="F34" s="255" t="s">
        <v>12</v>
      </c>
      <c r="G34" s="254" t="s">
        <v>394</v>
      </c>
      <c r="H34" s="123"/>
      <c r="I34" s="108" t="str">
        <f t="shared" si="11"/>
        <v>L1</v>
      </c>
      <c r="J34" s="669"/>
      <c r="K34" s="670" t="s">
        <v>394</v>
      </c>
      <c r="L34" s="675" t="s">
        <v>12</v>
      </c>
      <c r="M34" s="668" t="s">
        <v>12</v>
      </c>
      <c r="N34" s="673" t="s">
        <v>980</v>
      </c>
      <c r="O34" s="672"/>
      <c r="P34" s="106">
        <v>14</v>
      </c>
      <c r="Q34" s="110"/>
      <c r="T34" s="126">
        <f>IF($H$5&gt;12,1,0)</f>
        <v>1</v>
      </c>
      <c r="U34" s="126" t="str">
        <f>IF($H$8=1,"L1","L1")</f>
        <v>L1</v>
      </c>
      <c r="W34" s="133">
        <f>IF(T34=0,0,(H34+J34))</f>
        <v>0</v>
      </c>
      <c r="Z34" s="133">
        <f>IF(T34=0,0,IF(G34="G",H34,0))</f>
        <v>0</v>
      </c>
      <c r="AA34" s="133">
        <f>IF(T34=0,0,IF(K34="G",J34,0))</f>
        <v>0</v>
      </c>
      <c r="AF34" s="126">
        <f>IF(T34=0,0,IF(G34="D",H34,0))</f>
        <v>0</v>
      </c>
      <c r="AG34" s="126">
        <f>IF(T34=0,0,IF(K34="D",J34,0))</f>
        <v>0</v>
      </c>
      <c r="AL34" s="126">
        <f>IF(T34=0,0,IF(G34="C",H34,0))</f>
        <v>0</v>
      </c>
      <c r="AM34" s="126">
        <f>IF(T34=0,0,IF(K34="C",J34,0))</f>
        <v>0</v>
      </c>
      <c r="AR34" s="133">
        <f t="shared" si="12"/>
        <v>0</v>
      </c>
      <c r="AS34" s="133">
        <f t="shared" si="10"/>
        <v>0</v>
      </c>
      <c r="AT34" s="133">
        <f>IF(T34=0,0,IF(G34="M",H34,0))</f>
        <v>0</v>
      </c>
      <c r="AU34" s="133">
        <f>IF(T34=0,0,IF(K34="M",J34,0))</f>
        <v>0</v>
      </c>
      <c r="BA34" s="133">
        <f>IF(T34=0,0,IF(G34="K",H34,0))</f>
        <v>0</v>
      </c>
      <c r="BB34" s="133">
        <f>IF(T34=0,0,IF(K34="K",J34,0))</f>
        <v>0</v>
      </c>
      <c r="BC34" s="133"/>
      <c r="BD34" s="133"/>
      <c r="BE34" s="133"/>
      <c r="BF34" s="133"/>
      <c r="BG34" s="126">
        <f>IF(T34=0,0,IF(E34="N",H34,0))</f>
        <v>0</v>
      </c>
      <c r="BH34" s="133">
        <f>IF(T34=0,0,IF(M34="N",J34,0))</f>
        <v>0</v>
      </c>
      <c r="BK34" s="133">
        <f>IF(T34=0,0,IF(E34="N",H34,0))</f>
        <v>0</v>
      </c>
      <c r="BL34" s="133">
        <f>IF(T34=0,0,IF(M34="N",J34,0))</f>
        <v>0</v>
      </c>
      <c r="BM34" s="133"/>
      <c r="BN34" s="133"/>
      <c r="BO34" s="133">
        <f>IF(T34=0,0,IF(E34="N",H34,0))</f>
        <v>0</v>
      </c>
      <c r="BP34" s="133">
        <f>IF(T34=0,0,IF(M34="N",J34,0))</f>
        <v>0</v>
      </c>
      <c r="BQ34" s="133"/>
      <c r="BR34" s="133"/>
      <c r="BS34" s="133"/>
      <c r="BT34" s="133"/>
      <c r="BU34" s="133"/>
      <c r="BV34" s="133"/>
      <c r="BW34" s="133"/>
      <c r="BY34" s="130"/>
      <c r="BZ34" s="130"/>
      <c r="CA34" s="131">
        <v>28</v>
      </c>
      <c r="CB34" s="129">
        <f>IF(SUM(CB$7:CB33)=0,CC34,0)</f>
        <v>0</v>
      </c>
      <c r="CC34" s="319">
        <f>IF(AND(H8=1,O15="3-PHASE"),28,IF(OR(O15="NONE",O15="1-PHASE",O15="3-PHASE"),0,28))</f>
        <v>0</v>
      </c>
      <c r="CD34" s="133" t="s">
        <v>775</v>
      </c>
      <c r="CE34" s="133"/>
      <c r="CF34" s="133"/>
      <c r="CG34" s="133"/>
      <c r="CH34" s="132"/>
      <c r="CI34" s="132"/>
      <c r="CJ34" s="133"/>
      <c r="CK34" s="133"/>
      <c r="CL34" s="133"/>
      <c r="CM34" s="133"/>
      <c r="CN34" s="133"/>
      <c r="CO34" s="133"/>
      <c r="CP34" s="133"/>
      <c r="CQ34" s="32"/>
      <c r="CX34" s="62">
        <f t="shared" si="9"/>
        <v>410.00000999999997</v>
      </c>
      <c r="CY34" s="24"/>
      <c r="CZ34" s="22"/>
      <c r="DA34" s="62">
        <f t="shared" si="7"/>
        <v>460</v>
      </c>
      <c r="DB34" s="62">
        <f t="shared" si="13"/>
        <v>460</v>
      </c>
      <c r="DC34" s="62" t="s">
        <v>109</v>
      </c>
      <c r="DD34" s="62">
        <v>15</v>
      </c>
      <c r="DE34" s="62">
        <v>2</v>
      </c>
      <c r="DF34" s="62"/>
      <c r="DG34" s="62"/>
      <c r="DH34" s="62"/>
      <c r="DJ34" s="22"/>
      <c r="DK34" s="22"/>
      <c r="DL34" s="22"/>
      <c r="DR34" s="57">
        <f t="shared" si="1"/>
        <v>1000.00001</v>
      </c>
      <c r="DS34" s="57">
        <v>1200</v>
      </c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F34" s="276">
        <v>2</v>
      </c>
      <c r="EG34" s="276">
        <f>IF(EH34&gt;0,2,0)</f>
        <v>2</v>
      </c>
      <c r="EH34" s="276" t="str">
        <f t="shared" ref="EH34:EH42" si="17">IF(EG$28=2,EI34,IF(EG$28=3,EJ34,IF(EG$28=4,EK34,"ERR")))</f>
        <v>ERR</v>
      </c>
      <c r="EI34" s="276">
        <f>IF(SUM(EI$33:EI33)=0,IF(EL34&gt;1.799999,2,0),0)</f>
        <v>2</v>
      </c>
      <c r="EJ34" s="276">
        <f>IF(SUM(EJ$33:EJ33)=0,IF(EL34&gt;2.799999,3,0),0)</f>
        <v>0</v>
      </c>
      <c r="EK34" s="62">
        <f>IF(SUM(EK$33:EK33)=0,IF(EL34&gt;3.799999,4,0),0)</f>
        <v>0</v>
      </c>
      <c r="EL34" s="64">
        <f t="shared" si="14"/>
        <v>2.6650485436893208</v>
      </c>
      <c r="EM34" s="62">
        <f t="shared" si="15"/>
        <v>8.2400000000000001E-2</v>
      </c>
      <c r="EN34" s="64">
        <f t="shared" si="16"/>
        <v>0.21960000000000002</v>
      </c>
      <c r="EO34" s="62">
        <v>0.75</v>
      </c>
      <c r="EP34" s="22"/>
      <c r="EQ34" s="22"/>
      <c r="ER34" s="22"/>
      <c r="ES34" s="22"/>
    </row>
    <row r="35" spans="1:157" ht="12" customHeight="1">
      <c r="A35" s="92"/>
      <c r="B35" s="106">
        <v>15</v>
      </c>
      <c r="C35" s="256"/>
      <c r="D35" s="253"/>
      <c r="E35" s="256" t="s">
        <v>12</v>
      </c>
      <c r="F35" s="255" t="s">
        <v>12</v>
      </c>
      <c r="G35" s="254" t="s">
        <v>394</v>
      </c>
      <c r="H35" s="123"/>
      <c r="I35" s="108" t="str">
        <f t="shared" si="11"/>
        <v>L2</v>
      </c>
      <c r="J35" s="669"/>
      <c r="K35" s="670" t="s">
        <v>394</v>
      </c>
      <c r="L35" s="675" t="s">
        <v>12</v>
      </c>
      <c r="M35" s="668" t="s">
        <v>12</v>
      </c>
      <c r="N35" s="673" t="s">
        <v>981</v>
      </c>
      <c r="O35" s="672"/>
      <c r="P35" s="106">
        <v>16</v>
      </c>
      <c r="Q35" s="110"/>
      <c r="T35" s="126">
        <f>IF($H$5&gt;14,1,0)</f>
        <v>1</v>
      </c>
      <c r="U35" s="126" t="str">
        <f>IF($H$8=1,"L2","L2")</f>
        <v>L2</v>
      </c>
      <c r="X35" s="133">
        <f>IF(T35=0,0,(H35+J35))</f>
        <v>0</v>
      </c>
      <c r="AB35" s="133">
        <f>IF(T35=0,0,IF(G35="G",H35,0))</f>
        <v>0</v>
      </c>
      <c r="AC35" s="133">
        <f>IF(T35=0,0,IF(K35="G",J35,0))</f>
        <v>0</v>
      </c>
      <c r="AH35" s="126">
        <f>IF(T35=0,0,IF(G35="D",H35,0))</f>
        <v>0</v>
      </c>
      <c r="AI35" s="126">
        <f>IF(T35=0,0,IF(K35="D",J35,0))</f>
        <v>0</v>
      </c>
      <c r="AN35" s="126">
        <f>IF(T35=0,0,IF(G35="C",H35,0))</f>
        <v>0</v>
      </c>
      <c r="AO35" s="126">
        <f>IF(T35=0,0,IF(K35="C",J35,0))</f>
        <v>0</v>
      </c>
      <c r="AR35" s="133">
        <f t="shared" si="12"/>
        <v>0</v>
      </c>
      <c r="AS35" s="133">
        <f t="shared" si="10"/>
        <v>0</v>
      </c>
      <c r="AV35" s="133">
        <f>IF(T35=0,0,IF(G35="M",H35,0))</f>
        <v>0</v>
      </c>
      <c r="AW35" s="133">
        <f>IF(T35=0,0,IF(K35="M",J35,0))</f>
        <v>0</v>
      </c>
      <c r="BA35" s="133"/>
      <c r="BB35" s="133"/>
      <c r="BC35" s="133">
        <f>IF(T35=0,0,IF(G35="K",H35,0))</f>
        <v>0</v>
      </c>
      <c r="BD35" s="133">
        <f>IF(T35=0,0,IF(K35="K",J35,0))</f>
        <v>0</v>
      </c>
      <c r="BE35" s="133"/>
      <c r="BF35" s="133"/>
      <c r="BK35" s="133"/>
      <c r="BL35" s="133"/>
      <c r="BM35" s="133">
        <f>IF(T35=0,0,IF(E35="N",H35,0))</f>
        <v>0</v>
      </c>
      <c r="BN35" s="133">
        <f>IF(T35=0,0,IF(M35="N",J35,0))</f>
        <v>0</v>
      </c>
      <c r="BO35" s="133"/>
      <c r="BP35" s="133"/>
      <c r="BQ35" s="133">
        <f>IF(T35=0,0,IF(E35="N",H35,0))</f>
        <v>0</v>
      </c>
      <c r="BR35" s="133">
        <f>IF(T35=0,0,IF(M35="N",J35,0))</f>
        <v>0</v>
      </c>
      <c r="BS35" s="133"/>
      <c r="BT35" s="133"/>
      <c r="BU35" s="133"/>
      <c r="BV35" s="133"/>
      <c r="BW35" s="133"/>
      <c r="BY35" s="130"/>
      <c r="BZ35" s="130"/>
      <c r="CA35" s="131">
        <v>30</v>
      </c>
      <c r="CB35" s="129">
        <f>IF(SUM(CB$7:CB34)=0,CC35,0)</f>
        <v>0</v>
      </c>
      <c r="CC35" s="319">
        <v>0</v>
      </c>
      <c r="CD35" s="133" t="s">
        <v>846</v>
      </c>
      <c r="CE35" s="133"/>
      <c r="CF35" s="133"/>
      <c r="CG35" s="133"/>
      <c r="CH35" s="132"/>
      <c r="CI35" s="132"/>
      <c r="CJ35" s="133"/>
      <c r="CK35" s="133"/>
      <c r="CL35" s="133"/>
      <c r="CM35" s="133"/>
      <c r="CN35" s="133"/>
      <c r="CO35" s="133"/>
      <c r="CP35" s="133"/>
      <c r="CQ35" s="32"/>
      <c r="CX35" s="62">
        <f t="shared" si="9"/>
        <v>460.00000999999997</v>
      </c>
      <c r="CY35" s="24"/>
      <c r="CZ35" s="22"/>
      <c r="DA35" s="62">
        <f t="shared" si="7"/>
        <v>500</v>
      </c>
      <c r="DB35" s="62">
        <f t="shared" si="13"/>
        <v>500</v>
      </c>
      <c r="DC35" s="62" t="s">
        <v>112</v>
      </c>
      <c r="DD35" s="62">
        <v>16</v>
      </c>
      <c r="DE35" s="62">
        <v>2</v>
      </c>
      <c r="DF35" s="62"/>
      <c r="DG35" s="62"/>
      <c r="DH35" s="6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F35" s="276">
        <v>3</v>
      </c>
      <c r="EG35" s="276">
        <f>IF(EH35&gt;0,3,0)</f>
        <v>3</v>
      </c>
      <c r="EH35" s="276" t="str">
        <f t="shared" si="17"/>
        <v>ERR</v>
      </c>
      <c r="EI35" s="276">
        <f>IF(SUM(EI$33:EI34)=0,IF(EL35&gt;1.799999,2,0),0)</f>
        <v>0</v>
      </c>
      <c r="EJ35" s="276">
        <f>IF(SUM(EJ$33:EJ34)=0,IF(EL35&gt;2.799999,3,0),0)</f>
        <v>3</v>
      </c>
      <c r="EK35" s="62">
        <f>IF(SUM(EK$33:EK34)=0,IF(EL35&gt;3.799999,4,0),0)</f>
        <v>4</v>
      </c>
      <c r="EL35" s="64">
        <f t="shared" si="14"/>
        <v>4.3106796116504853</v>
      </c>
      <c r="EM35" s="62">
        <f t="shared" si="15"/>
        <v>8.2400000000000001E-2</v>
      </c>
      <c r="EN35" s="64">
        <f t="shared" si="16"/>
        <v>0.35520000000000002</v>
      </c>
      <c r="EO35" s="62">
        <v>1</v>
      </c>
      <c r="EP35" s="22"/>
      <c r="EQ35" s="22"/>
      <c r="ER35" s="22"/>
      <c r="ES35" s="22"/>
    </row>
    <row r="36" spans="1:157" ht="12" customHeight="1">
      <c r="A36" s="92"/>
      <c r="B36" s="106">
        <v>17</v>
      </c>
      <c r="C36" s="256"/>
      <c r="D36" s="253"/>
      <c r="E36" s="256" t="s">
        <v>12</v>
      </c>
      <c r="F36" s="255" t="s">
        <v>12</v>
      </c>
      <c r="G36" s="254" t="s">
        <v>394</v>
      </c>
      <c r="H36" s="123"/>
      <c r="I36" s="108" t="str">
        <f t="shared" si="11"/>
        <v>L3</v>
      </c>
      <c r="J36" s="669"/>
      <c r="K36" s="670" t="s">
        <v>394</v>
      </c>
      <c r="L36" s="675" t="s">
        <v>12</v>
      </c>
      <c r="M36" s="668" t="s">
        <v>12</v>
      </c>
      <c r="N36" s="671"/>
      <c r="O36" s="672"/>
      <c r="P36" s="106">
        <v>18</v>
      </c>
      <c r="Q36" s="110"/>
      <c r="T36" s="126">
        <f>IF($H$5&gt;16,1,0)</f>
        <v>1</v>
      </c>
      <c r="U36" s="126" t="str">
        <f>IF($H$8=1,"L1","L3")</f>
        <v>L3</v>
      </c>
      <c r="W36" s="133" t="str">
        <f>IF(T36=0,0,IF($H$8=1,(H36+J36)," "))</f>
        <v xml:space="preserve"> </v>
      </c>
      <c r="Y36" s="133">
        <f>IF(T36=0,0,IF($H$8=1," ",(H36+J36)))</f>
        <v>0</v>
      </c>
      <c r="Z36" s="133" t="str">
        <f>IF($H$8=1,IF(T36=0,0,IF(G36="G",H36,0))," ")</f>
        <v xml:space="preserve"> </v>
      </c>
      <c r="AA36" s="133" t="str">
        <f>IF($H$8=1,IF(T36=0,0,IF(K36="G",J36,0))," ")</f>
        <v xml:space="preserve"> </v>
      </c>
      <c r="AD36" s="133">
        <f>IF($H$8=1," ",IF(T36=0,0,IF(G36="G",H36,0)))</f>
        <v>0</v>
      </c>
      <c r="AE36" s="133">
        <f>IF($H$8=1," ",IF(T36=0,0,IF(K36="G",J36,0)))</f>
        <v>0</v>
      </c>
      <c r="AF36" s="126" t="str">
        <f>IF($H$8=1,IF(T36=0,0,IF(G36="D",H36,0))," ")</f>
        <v xml:space="preserve"> </v>
      </c>
      <c r="AG36" s="126" t="str">
        <f>IF($H$8=1,IF(T36=0,0,IF(K36="D",J36,0))," ")</f>
        <v xml:space="preserve"> </v>
      </c>
      <c r="AJ36" s="126">
        <f>IF($H$8=1," ",IF(T36=0,0,IF(G36="D",H36,0)))</f>
        <v>0</v>
      </c>
      <c r="AK36" s="126">
        <f>IF($H$8=1," ",IF(T36=0,0,IF(K36="D",J36,0)))</f>
        <v>0</v>
      </c>
      <c r="AL36" s="126" t="str">
        <f>IF($H$8=1,IF(T36=0,0,IF(G36="C",H36,0))," ")</f>
        <v xml:space="preserve"> </v>
      </c>
      <c r="AM36" s="126" t="str">
        <f>IF($H$8=1,IF(T36=0,0,IF(K36="C",J36,0))," ")</f>
        <v xml:space="preserve"> </v>
      </c>
      <c r="AP36" s="126">
        <f>IF($H$8=1," ",IF(T36=0,0,IF(G36="C",H36,0)))</f>
        <v>0</v>
      </c>
      <c r="AQ36" s="126">
        <f>IF($H$8=1," ",IF(T36=0,0,IF(K36="C",J36,0)))</f>
        <v>0</v>
      </c>
      <c r="AR36" s="133">
        <f t="shared" si="12"/>
        <v>0</v>
      </c>
      <c r="AS36" s="133">
        <f t="shared" si="10"/>
        <v>0</v>
      </c>
      <c r="AT36" s="133" t="str">
        <f>IF(T36=0,0,IF($H$8=1,IF(G36="M",H36,0)," "))</f>
        <v xml:space="preserve"> </v>
      </c>
      <c r="AU36" s="133" t="str">
        <f>IF(T36=0,0,IF($H$8=1,IF(K36="M",J36,0)," "))</f>
        <v xml:space="preserve"> </v>
      </c>
      <c r="AX36" s="133">
        <f>IF(T36=0,0,IF($H$8=1," ",IF(G36="M",H36,0)))</f>
        <v>0</v>
      </c>
      <c r="AY36" s="133">
        <f>IF(T36=0,0,IF($H$8=1," ",IF(K36="M",J36,0)))</f>
        <v>0</v>
      </c>
      <c r="BA36" s="133" t="str">
        <f>IF(T36=0,0,IF($H$8=1,IF(G36="K",H36,0)," "))</f>
        <v xml:space="preserve"> </v>
      </c>
      <c r="BB36" s="133" t="str">
        <f>IF(T36=0,0,IF($H$8=1,IF(K36="K",J36,0)," "))</f>
        <v xml:space="preserve"> </v>
      </c>
      <c r="BC36" s="133"/>
      <c r="BD36" s="133"/>
      <c r="BE36" s="133">
        <f>IF(T36=0,0,IF($H$8=1," ",IF(G36="K",H36,0)))</f>
        <v>0</v>
      </c>
      <c r="BF36" s="133">
        <f>IF(T36=0,0,IF($H$8=1," ",IF(K36="K",J36,0)))</f>
        <v>0</v>
      </c>
      <c r="BG36" s="126"/>
      <c r="BI36" s="133">
        <f>IF(T36=0,0,IF(E36="N",H36,0))</f>
        <v>0</v>
      </c>
      <c r="BJ36" s="133">
        <f>IF(T36=0,0,IF(M36="N",J36,0))</f>
        <v>0</v>
      </c>
      <c r="BK36" s="133">
        <f>IF(T36=0,0,IF(E36="N",H36,0))</f>
        <v>0</v>
      </c>
      <c r="BL36" s="133">
        <f>IF(T36=0,0,IF(M36="N",J36,0))</f>
        <v>0</v>
      </c>
      <c r="BM36" s="133"/>
      <c r="BN36" s="133"/>
      <c r="BO36" s="133"/>
      <c r="BP36" s="133"/>
      <c r="BQ36" s="133"/>
      <c r="BR36" s="133"/>
      <c r="BS36" s="133">
        <f>IF(T36=0,0,IF(E36="N",H36,0))</f>
        <v>0</v>
      </c>
      <c r="BT36" s="133">
        <f>IF(T36=0,0,IF(M36="N",J36,0))</f>
        <v>0</v>
      </c>
      <c r="BU36" s="133"/>
      <c r="BV36" s="133"/>
      <c r="BW36" s="133"/>
      <c r="BY36" s="130"/>
      <c r="BZ36" s="130"/>
      <c r="CA36" s="131"/>
      <c r="CB36" s="139">
        <f>SUM(CB7:CB35)</f>
        <v>0</v>
      </c>
      <c r="CC36" s="132"/>
      <c r="CD36" s="133"/>
      <c r="CE36" s="133"/>
      <c r="CF36" s="133"/>
      <c r="CG36" s="133"/>
      <c r="CH36" s="132"/>
      <c r="CI36" s="132"/>
      <c r="CJ36" s="133"/>
      <c r="CK36" s="133"/>
      <c r="CL36" s="133"/>
      <c r="CM36" s="133"/>
      <c r="CN36" s="133"/>
      <c r="CO36" s="133"/>
      <c r="CP36" s="133"/>
      <c r="CQ36" s="32"/>
      <c r="CX36" s="62">
        <f t="shared" si="9"/>
        <v>500.00000999999997</v>
      </c>
      <c r="CY36" s="24"/>
      <c r="CZ36" s="22"/>
      <c r="DA36" s="62">
        <f t="shared" si="7"/>
        <v>540</v>
      </c>
      <c r="DB36" s="62">
        <f t="shared" si="13"/>
        <v>540</v>
      </c>
      <c r="DC36" s="62" t="s">
        <v>114</v>
      </c>
      <c r="DD36" s="62">
        <v>17</v>
      </c>
      <c r="DE36" s="62">
        <v>2</v>
      </c>
      <c r="DF36" s="62"/>
      <c r="DG36" s="62"/>
      <c r="DH36" s="62"/>
      <c r="DR36" s="27"/>
      <c r="DS36" s="27"/>
      <c r="DT36" s="27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F36" s="276">
        <v>4</v>
      </c>
      <c r="EG36" s="276">
        <f>IF(EH36&gt;0,4,0)</f>
        <v>4</v>
      </c>
      <c r="EH36" s="276" t="str">
        <f t="shared" si="17"/>
        <v>ERR</v>
      </c>
      <c r="EI36" s="276">
        <f>IF(SUM(EI$33:EI35)=0,IF(EL36&gt;1.799999,2,0),0)</f>
        <v>0</v>
      </c>
      <c r="EJ36" s="276">
        <f>IF(SUM(EJ$33:EJ35)=0,IF(EL36&gt;2.799999,3,0),0)</f>
        <v>0</v>
      </c>
      <c r="EK36" s="62">
        <f>IF(SUM(EK$33:EK35)=0,IF(EL36&gt;3.799999,4,0),0)</f>
        <v>0</v>
      </c>
      <c r="EL36" s="64">
        <f t="shared" si="14"/>
        <v>7.4077669902912628</v>
      </c>
      <c r="EM36" s="62">
        <f t="shared" si="15"/>
        <v>8.2400000000000001E-2</v>
      </c>
      <c r="EN36" s="64">
        <f t="shared" si="16"/>
        <v>0.61040000000000005</v>
      </c>
      <c r="EO36" s="62">
        <v>1.25</v>
      </c>
      <c r="EP36" s="22"/>
      <c r="EQ36" s="22"/>
      <c r="ER36" s="22"/>
      <c r="ES36" s="22"/>
    </row>
    <row r="37" spans="1:157" ht="12" customHeight="1">
      <c r="A37" s="92"/>
      <c r="B37" s="106">
        <v>19</v>
      </c>
      <c r="C37" s="256"/>
      <c r="D37" s="253"/>
      <c r="E37" s="256" t="s">
        <v>12</v>
      </c>
      <c r="F37" s="255" t="s">
        <v>12</v>
      </c>
      <c r="G37" s="254" t="s">
        <v>394</v>
      </c>
      <c r="H37" s="123"/>
      <c r="I37" s="108" t="str">
        <f t="shared" si="11"/>
        <v>L1</v>
      </c>
      <c r="J37" s="669"/>
      <c r="K37" s="670" t="s">
        <v>394</v>
      </c>
      <c r="L37" s="675" t="s">
        <v>12</v>
      </c>
      <c r="M37" s="668" t="s">
        <v>12</v>
      </c>
      <c r="N37" s="671"/>
      <c r="O37" s="672"/>
      <c r="P37" s="106">
        <v>20</v>
      </c>
      <c r="Q37" s="110"/>
      <c r="T37" s="126">
        <f>IF($H$5&gt;18,1,0)</f>
        <v>1</v>
      </c>
      <c r="U37" s="126" t="str">
        <f>IF($H$8=1,"L2","L1")</f>
        <v>L1</v>
      </c>
      <c r="W37" s="133">
        <f>IF(T37=0,0,IF($H$8=1," ",(H37+J37)))</f>
        <v>0</v>
      </c>
      <c r="X37" s="133" t="str">
        <f>IF(T37=0,0,IF($H$8=1,(H37+J37)," "))</f>
        <v xml:space="preserve"> </v>
      </c>
      <c r="Z37" s="133">
        <f>IF($H$8=1," ",IF(T37=0,0,IF(G37="G",H37,0)))</f>
        <v>0</v>
      </c>
      <c r="AA37" s="133">
        <f>IF($H$8=1," ",IF(T37=0,0,IF(K37="G",J37,0)))</f>
        <v>0</v>
      </c>
      <c r="AB37" s="133" t="str">
        <f>IF($H$8=1,IF(T37=0,0,IF(G37="G",H37,0))," ")</f>
        <v xml:space="preserve"> </v>
      </c>
      <c r="AC37" s="133" t="str">
        <f>IF($H$8=1,IF(T37=0,0,IF(K37="G",J37,0))," ")</f>
        <v xml:space="preserve"> </v>
      </c>
      <c r="AF37" s="126">
        <f>IF($H$8=1," ",IF(T37=0,0,IF(G37="D",H37,0)))</f>
        <v>0</v>
      </c>
      <c r="AG37" s="126">
        <f>IF($H$8=1," ",IF(T37=0,0,IF(K37="D",J37,0)))</f>
        <v>0</v>
      </c>
      <c r="AH37" s="126" t="str">
        <f>IF($H$8=1,IF(T37=0,0,IF(G37="D",H37,0))," ")</f>
        <v xml:space="preserve"> </v>
      </c>
      <c r="AI37" s="126" t="str">
        <f>IF($H$8=1,IF(T37=0,0,IF(K37="D",J37,0))," ")</f>
        <v xml:space="preserve"> </v>
      </c>
      <c r="AL37" s="126">
        <f>IF($H$8=1," ",IF(T37=0,0,IF(G37="C",H37,0)))</f>
        <v>0</v>
      </c>
      <c r="AM37" s="126">
        <f>IF($H$8=1," ",IF(T37=0,0,IF(K37="C",J37,0)))</f>
        <v>0</v>
      </c>
      <c r="AN37" s="126" t="str">
        <f>IF($H$8=1,IF(T37=0,0,IF(G37="C",H37,0))," ")</f>
        <v xml:space="preserve"> </v>
      </c>
      <c r="AO37" s="126" t="str">
        <f>IF($H$8=1,IF(T37=0,0,IF(K37="C",J37,0))," ")</f>
        <v xml:space="preserve"> </v>
      </c>
      <c r="AR37" s="133">
        <f t="shared" si="12"/>
        <v>0</v>
      </c>
      <c r="AS37" s="133">
        <f t="shared" si="10"/>
        <v>0</v>
      </c>
      <c r="AT37" s="133">
        <f>IF(T37=0,0,IF($H$8=1," ",IF(G37="M",H37,0)))</f>
        <v>0</v>
      </c>
      <c r="AU37" s="133">
        <f>IF(T37=0,0,IF($H$8=1," ",IF(K37="M",J37,0)))</f>
        <v>0</v>
      </c>
      <c r="AV37" s="133" t="str">
        <f>IF(T37=0,0,IF($H$8=1,IF(G37="M",H37,0)," "))</f>
        <v xml:space="preserve"> </v>
      </c>
      <c r="AW37" s="133" t="str">
        <f>IF(T37=0,0,IF($H$8=1,IF(K37="M",J37,0)," "))</f>
        <v xml:space="preserve"> </v>
      </c>
      <c r="BA37" s="133">
        <f>IF(T37=0,0,IF($H$8=1," ",IF(G37="K",H37,0)))</f>
        <v>0</v>
      </c>
      <c r="BB37" s="133">
        <f>IF(T37=0,0,IF($H$8=1," ",IF(K37="K",J37,0)))</f>
        <v>0</v>
      </c>
      <c r="BC37" s="133" t="str">
        <f>IF(T37=0,0,IF($H$8=1,IF(G37="K",H37,0)," "))</f>
        <v xml:space="preserve"> </v>
      </c>
      <c r="BD37" s="133" t="str">
        <f>IF(T37=0,0,IF($H$8=1,IF(K37="K",J37,0)," "))</f>
        <v xml:space="preserve"> </v>
      </c>
      <c r="BE37" s="133"/>
      <c r="BF37" s="133"/>
      <c r="BG37" s="126">
        <f>IF(T37=0,0,IF(E37="N",H37,0))</f>
        <v>0</v>
      </c>
      <c r="BH37" s="133">
        <f>IF(T37=0,0,IF(M37="N",J37,0))</f>
        <v>0</v>
      </c>
      <c r="BK37" s="133"/>
      <c r="BL37" s="133"/>
      <c r="BM37" s="133">
        <f>IF(T37=0,0,IF(E37="N",H37,0))</f>
        <v>0</v>
      </c>
      <c r="BN37" s="133">
        <f>IF(T37=0,0,IF(M37="N",J37,0))</f>
        <v>0</v>
      </c>
      <c r="BO37" s="133">
        <f>IF(T37=0,0,IF(E37="N",H37,0))</f>
        <v>0</v>
      </c>
      <c r="BP37" s="133">
        <f>IF(T37=0,0,IF(M37="N",J37,0))</f>
        <v>0</v>
      </c>
      <c r="BQ37" s="133"/>
      <c r="BR37" s="133"/>
      <c r="BS37" s="133"/>
      <c r="BT37" s="133"/>
      <c r="BU37" s="133"/>
      <c r="BV37" s="133"/>
      <c r="BW37" s="133"/>
      <c r="BY37" s="130"/>
      <c r="BZ37" s="130"/>
      <c r="CA37" s="131" t="str">
        <f>IF(CB36=0," ",VLOOKUP(CB36,CA7:CD36,4))</f>
        <v xml:space="preserve"> </v>
      </c>
      <c r="CB37" s="132"/>
      <c r="CC37" s="132"/>
      <c r="CD37" s="133"/>
      <c r="CE37" s="133" t="s">
        <v>12</v>
      </c>
      <c r="CF37" s="133"/>
      <c r="CG37" s="133"/>
      <c r="CH37" s="132"/>
      <c r="CI37" s="132"/>
      <c r="CJ37" s="133"/>
      <c r="CK37" s="133"/>
      <c r="CL37" s="133"/>
      <c r="CM37" s="133"/>
      <c r="CN37" s="133"/>
      <c r="CO37" s="133"/>
      <c r="CP37" s="133"/>
      <c r="CQ37" s="32"/>
      <c r="CX37" s="57">
        <f t="shared" si="9"/>
        <v>540.00000999999997</v>
      </c>
      <c r="CY37" s="24"/>
      <c r="CZ37" s="22"/>
      <c r="DA37" s="57">
        <f t="shared" si="7"/>
        <v>620</v>
      </c>
      <c r="DB37" s="57">
        <f t="shared" si="13"/>
        <v>620</v>
      </c>
      <c r="DC37" s="57" t="s">
        <v>116</v>
      </c>
      <c r="DD37" s="57">
        <v>18</v>
      </c>
      <c r="DE37" s="57">
        <v>2</v>
      </c>
      <c r="DF37" s="57"/>
      <c r="DG37" s="57"/>
      <c r="DH37" s="57"/>
      <c r="DR37" s="73" t="s">
        <v>126</v>
      </c>
      <c r="DS37" s="70">
        <f>VLOOKUP(DS6,DR13:DS34,2)</f>
        <v>60</v>
      </c>
      <c r="DT37" s="70" t="e">
        <f>IF(DT6&lt;800.0001,VLOOKUP(DT6,DS13:DT34,2),0)</f>
        <v>#N/A</v>
      </c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F37" s="276">
        <v>5</v>
      </c>
      <c r="EG37" s="276">
        <f>IF(EH37&gt;0,5,0)</f>
        <v>5</v>
      </c>
      <c r="EH37" s="276" t="str">
        <f t="shared" si="17"/>
        <v>ERR</v>
      </c>
      <c r="EI37" s="276">
        <f>IF(SUM(EI$33:EI36)=0,IF(EL37&gt;1.799999,2,0),0)</f>
        <v>0</v>
      </c>
      <c r="EJ37" s="276">
        <f>IF(SUM(EJ$33:EJ36)=0,IF(EL37&gt;2.799999,3,0),0)</f>
        <v>0</v>
      </c>
      <c r="EK37" s="62">
        <f>IF(SUM(EK$33:EK36)=0,IF(EL37&gt;3.799999,4,0),0)</f>
        <v>0</v>
      </c>
      <c r="EL37" s="64">
        <f t="shared" si="14"/>
        <v>10.053398058252428</v>
      </c>
      <c r="EM37" s="62">
        <f t="shared" si="15"/>
        <v>8.2400000000000001E-2</v>
      </c>
      <c r="EN37" s="64">
        <f t="shared" si="16"/>
        <v>0.82840000000000014</v>
      </c>
      <c r="EO37" s="62">
        <v>1.5</v>
      </c>
      <c r="EP37" s="22"/>
      <c r="EQ37" s="22"/>
      <c r="ER37" s="22"/>
      <c r="ES37" s="22"/>
    </row>
    <row r="38" spans="1:157" ht="12" customHeight="1">
      <c r="A38" s="92"/>
      <c r="B38" s="106">
        <v>21</v>
      </c>
      <c r="C38" s="674"/>
      <c r="D38" s="671"/>
      <c r="E38" s="668" t="s">
        <v>12</v>
      </c>
      <c r="F38" s="675" t="s">
        <v>12</v>
      </c>
      <c r="G38" s="670" t="s">
        <v>394</v>
      </c>
      <c r="H38" s="669"/>
      <c r="I38" s="108" t="str">
        <f t="shared" si="11"/>
        <v>L2</v>
      </c>
      <c r="J38" s="669"/>
      <c r="K38" s="670" t="s">
        <v>394</v>
      </c>
      <c r="L38" s="675" t="s">
        <v>12</v>
      </c>
      <c r="M38" s="668" t="s">
        <v>12</v>
      </c>
      <c r="N38" s="671"/>
      <c r="O38" s="672"/>
      <c r="P38" s="106">
        <v>22</v>
      </c>
      <c r="Q38" s="110"/>
      <c r="T38" s="126">
        <f>IF($H$5&gt;20,1,0)</f>
        <v>1</v>
      </c>
      <c r="U38" s="126" t="str">
        <f>IF($H$8=1,"L1","L2")</f>
        <v>L2</v>
      </c>
      <c r="W38" s="133" t="str">
        <f>IF(T38=0,0,IF($H$8=1,(H38+J38)," "))</f>
        <v xml:space="preserve"> </v>
      </c>
      <c r="X38" s="133">
        <f>IF(T38=0,0,IF($H$8=1," ",(H38+J38)))</f>
        <v>0</v>
      </c>
      <c r="Z38" s="133" t="str">
        <f>IF($H$8=1,IF(T38=0,0,IF(G38="G",H38,0))," ")</f>
        <v xml:space="preserve"> </v>
      </c>
      <c r="AA38" s="133" t="str">
        <f>IF($H$8=1,IF(T38=0,0,IF(K38="G",J38,0))," ")</f>
        <v xml:space="preserve"> </v>
      </c>
      <c r="AB38" s="133">
        <f>IF($H$8=1," ",IF(T38=0,0,IF(G38="G",H38,0)))</f>
        <v>0</v>
      </c>
      <c r="AC38" s="133">
        <f>IF($H$8=1," ",IF(T38=0,0,IF(K38="G",J38,0)))</f>
        <v>0</v>
      </c>
      <c r="AF38" s="126" t="str">
        <f>IF($H$8=1,IF(T38=0,0,IF(G38="D",H38,0))," ")</f>
        <v xml:space="preserve"> </v>
      </c>
      <c r="AG38" s="126" t="str">
        <f>IF($H$8=1,IF(T38=0,0,IF(K38="D",J38,0))," ")</f>
        <v xml:space="preserve"> </v>
      </c>
      <c r="AH38" s="126">
        <f>IF($H$8=1," ",IF(T38=0,0,IF(G38="D",H38,0)))</f>
        <v>0</v>
      </c>
      <c r="AI38" s="126">
        <f>IF($H$8=1," ",IF(T38=0,0,IF(K38="D",J38,0)))</f>
        <v>0</v>
      </c>
      <c r="AL38" s="126" t="str">
        <f>IF($H$8=1,IF(T38=0,0,IF(G38="C",H38,0))," ")</f>
        <v xml:space="preserve"> </v>
      </c>
      <c r="AM38" s="126" t="str">
        <f>IF($H$8=1,IF(T38=0,0,IF(K38="C",J38,0))," ")</f>
        <v xml:space="preserve"> </v>
      </c>
      <c r="AN38" s="126">
        <f>IF($H$8=1," ",IF(T38=0,0,IF(G38="C",H38,0)))</f>
        <v>0</v>
      </c>
      <c r="AO38" s="126">
        <f>IF($H$8=1," ",IF(T38=0,0,IF(K38="C",J38,0)))</f>
        <v>0</v>
      </c>
      <c r="AR38" s="133">
        <f t="shared" si="12"/>
        <v>0</v>
      </c>
      <c r="AS38" s="133">
        <f t="shared" si="10"/>
        <v>0</v>
      </c>
      <c r="AT38" s="133" t="str">
        <f>IF(T38=0,0,IF($H$8=1,IF(G38="M",H38,0)," "))</f>
        <v xml:space="preserve"> </v>
      </c>
      <c r="AU38" s="133" t="str">
        <f>IF(T38=0,0,IF($H$8=1,IF(K38="M",J38,0)," "))</f>
        <v xml:space="preserve"> </v>
      </c>
      <c r="AV38" s="133">
        <f>IF(T38=0,0,IF($H$8=1," ",IF(G38="M",H38,0)))</f>
        <v>0</v>
      </c>
      <c r="AW38" s="133">
        <f>IF(T38=0,0,IF($H$8=1," ",IF(K38="M",J38,0)))</f>
        <v>0</v>
      </c>
      <c r="BA38" s="133" t="str">
        <f>IF(T38=0,0,IF($H$8=1,IF(G38="K",H38,0)," "))</f>
        <v xml:space="preserve"> </v>
      </c>
      <c r="BB38" s="133" t="str">
        <f>IF(T38=0,0,IF($H$8=1,IF(K38="K",J38,0)," "))</f>
        <v xml:space="preserve"> </v>
      </c>
      <c r="BC38" s="133">
        <f>IF(T38=0,0,IF($H$8=1," ",IF(G38="K",H38,0)))</f>
        <v>0</v>
      </c>
      <c r="BD38" s="133">
        <f>IF(T38=0,0,IF($H$8=1," ",IF(K38="K",J38,0)))</f>
        <v>0</v>
      </c>
      <c r="BE38" s="133"/>
      <c r="BF38" s="133"/>
      <c r="BK38" s="133">
        <f>IF(T38=0,0,IF(E38="N",H38,0))</f>
        <v>0</v>
      </c>
      <c r="BL38" s="133">
        <f>IF(T38=0,0,IF(M38="N",J38,0))</f>
        <v>0</v>
      </c>
      <c r="BM38" s="133"/>
      <c r="BN38" s="133"/>
      <c r="BO38" s="133"/>
      <c r="BP38" s="133"/>
      <c r="BQ38" s="133">
        <f>IF(T38=0,0,IF(E38="N",H38,0))</f>
        <v>0</v>
      </c>
      <c r="BR38" s="133">
        <f>IF(T38=0,0,IF(M38="N",J38,0))</f>
        <v>0</v>
      </c>
      <c r="BS38" s="133"/>
      <c r="BT38" s="133"/>
      <c r="BU38" s="133"/>
      <c r="BV38" s="133"/>
      <c r="BW38" s="133"/>
      <c r="BY38" s="130"/>
      <c r="BZ38" s="130"/>
      <c r="CA38" s="128">
        <v>1</v>
      </c>
      <c r="CB38" s="129">
        <f>CC38</f>
        <v>0</v>
      </c>
      <c r="CC38" s="129">
        <f>IF(OR(H$5&lt;2,O15="Y"),0,IF(G28="G",0,IF(G28="C",0,IF(G28="M",0,IF(G28="K",0,IF(AND(OR($H$10="FULL",$H$10="AUTO"),G28="D"),0,1))))))</f>
        <v>0</v>
      </c>
      <c r="CD38" s="128" t="str">
        <f>IF($H$10="NONE","ENTER CIRCUIT #1 LOAD IDENTIFIER  ( G, C, M, K )","ENTER CIRCUIT #1 LOAD IDENTIFIER  ( G, D, C, M, K )")</f>
        <v>ENTER CIRCUIT #1 LOAD IDENTIFIER  ( G, D, C, M, K )</v>
      </c>
      <c r="CE38" s="129">
        <f>CF38</f>
        <v>0</v>
      </c>
      <c r="CF38" s="129">
        <f>IF(H$5&lt;2,0,IF(O15="Y",0,IF(ISBLANK(F28)=TRUE,1,IF(F28=" ",0,IF(F28="H",0,1)))))</f>
        <v>0</v>
      </c>
      <c r="CG38" s="128" t="s">
        <v>85</v>
      </c>
      <c r="CH38" s="129">
        <f>CI38</f>
        <v>0</v>
      </c>
      <c r="CI38" s="132">
        <f>IF($H$5&lt;2,0,IF(O15&lt;&gt;"NONE",0,IF(ISBLANK($E28)=TRUE,1,IF($E28="N",0,IF($E28=" ",0,1)))))</f>
        <v>0</v>
      </c>
      <c r="CJ38" s="128" t="s">
        <v>443</v>
      </c>
      <c r="CK38" s="128"/>
      <c r="CL38" s="128"/>
      <c r="CM38" s="128"/>
      <c r="CN38" s="128"/>
      <c r="CO38" s="128"/>
      <c r="CP38" s="128"/>
      <c r="CQ38" s="32"/>
      <c r="CX38" s="62">
        <f t="shared" si="9"/>
        <v>620.00000999999997</v>
      </c>
      <c r="CY38" s="24"/>
      <c r="CZ38" s="22"/>
      <c r="DA38" s="62">
        <f t="shared" si="7"/>
        <v>690</v>
      </c>
      <c r="DB38" s="62">
        <f>DB28*DE38</f>
        <v>690</v>
      </c>
      <c r="DC38" s="62" t="s">
        <v>109</v>
      </c>
      <c r="DD38" s="62">
        <v>15</v>
      </c>
      <c r="DE38" s="62">
        <v>3</v>
      </c>
      <c r="DF38" s="62"/>
      <c r="DG38" s="62"/>
      <c r="DH38" s="62"/>
      <c r="DJ38" s="22"/>
      <c r="DK38" s="22"/>
      <c r="DL38" s="22"/>
      <c r="DM38" s="22"/>
      <c r="DN38" s="22"/>
      <c r="DO38" s="22"/>
      <c r="DP38" s="22"/>
      <c r="DR38" s="74" t="s">
        <v>128</v>
      </c>
      <c r="DS38" s="75"/>
      <c r="DT38" s="75">
        <f>IF(DT6&gt;800,VLOOKUP(DT6,DT13:DT34,1),0)</f>
        <v>0</v>
      </c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F38" s="276">
        <v>6</v>
      </c>
      <c r="EG38" s="276">
        <f>IF(EH38&gt;0,6,0)</f>
        <v>6</v>
      </c>
      <c r="EH38" s="276" t="str">
        <f t="shared" si="17"/>
        <v>ERR</v>
      </c>
      <c r="EI38" s="276">
        <f>IF(SUM(EI$33:EI37)=0,IF(EL38&gt;1.799999,2,0),0)</f>
        <v>0</v>
      </c>
      <c r="EJ38" s="276">
        <f>IF(SUM(EJ$33:EJ37)=0,IF(EL38&gt;2.799999,3,0),0)</f>
        <v>0</v>
      </c>
      <c r="EK38" s="62">
        <f>IF(SUM(EK$33:EK37)=0,IF(EL38&gt;3.799999,4,0),0)</f>
        <v>0</v>
      </c>
      <c r="EL38" s="64">
        <f t="shared" si="14"/>
        <v>16.543689320388349</v>
      </c>
      <c r="EM38" s="62">
        <f t="shared" si="15"/>
        <v>8.2400000000000001E-2</v>
      </c>
      <c r="EN38" s="64">
        <f t="shared" si="16"/>
        <v>1.3632</v>
      </c>
      <c r="EO38" s="62">
        <v>2</v>
      </c>
      <c r="EP38" s="22"/>
      <c r="EQ38" s="22"/>
      <c r="ER38" s="22"/>
      <c r="ES38" s="22"/>
    </row>
    <row r="39" spans="1:157" ht="12" customHeight="1">
      <c r="A39" s="92"/>
      <c r="B39" s="106">
        <v>23</v>
      </c>
      <c r="C39" s="674"/>
      <c r="D39" s="671"/>
      <c r="E39" s="668" t="s">
        <v>12</v>
      </c>
      <c r="F39" s="675" t="s">
        <v>12</v>
      </c>
      <c r="G39" s="670" t="s">
        <v>394</v>
      </c>
      <c r="H39" s="669"/>
      <c r="I39" s="108" t="str">
        <f t="shared" si="11"/>
        <v>L3</v>
      </c>
      <c r="J39" s="669"/>
      <c r="K39" s="670" t="s">
        <v>394</v>
      </c>
      <c r="L39" s="675" t="s">
        <v>12</v>
      </c>
      <c r="M39" s="668" t="s">
        <v>12</v>
      </c>
      <c r="N39" s="671"/>
      <c r="O39" s="672"/>
      <c r="P39" s="106">
        <v>24</v>
      </c>
      <c r="Q39" s="110"/>
      <c r="T39" s="126">
        <f>IF($H$5&gt;22,1,0)</f>
        <v>1</v>
      </c>
      <c r="U39" s="126" t="str">
        <f>IF($H$8=1,"L2","L3")</f>
        <v>L3</v>
      </c>
      <c r="X39" s="133" t="str">
        <f>IF(T39=0,0,IF($H$8=1,(H39+J39)," "))</f>
        <v xml:space="preserve"> </v>
      </c>
      <c r="Y39" s="133">
        <f>IF(T39=0,0,IF($H$8=1," ",(H39+J39)))</f>
        <v>0</v>
      </c>
      <c r="AB39" s="133" t="str">
        <f>IF($H$8=1,IF(T39=0,0,IF(G39="G",H39,0))," ")</f>
        <v xml:space="preserve"> </v>
      </c>
      <c r="AC39" s="133" t="str">
        <f>IF($H$8=1,IF(T39=0,0,IF(K39="G",J39,0))," ")</f>
        <v xml:space="preserve"> </v>
      </c>
      <c r="AD39" s="133">
        <f>IF($H$8=1," ",IF(T39=0,0,IF(G39="G",H39,0)))</f>
        <v>0</v>
      </c>
      <c r="AE39" s="133">
        <f>IF($H$8=1," ",IF(T39=0,0,IF(K39="G",J39,0)))</f>
        <v>0</v>
      </c>
      <c r="AH39" s="126" t="str">
        <f>IF($H$8=1,IF(T39=0,0,IF(G39="D",H39,0))," ")</f>
        <v xml:space="preserve"> </v>
      </c>
      <c r="AI39" s="126" t="str">
        <f>IF($H$8=1,IF(T39=0,0,IF(K39="D",J39,0))," ")</f>
        <v xml:space="preserve"> </v>
      </c>
      <c r="AJ39" s="126">
        <f>IF($H$8=1," ",IF(T39=0,0,IF(G39="D",H39,0)))</f>
        <v>0</v>
      </c>
      <c r="AK39" s="126">
        <f>IF($H$8=1," ",IF(T39=0,0,IF(K39="D",J39,0)))</f>
        <v>0</v>
      </c>
      <c r="AN39" s="126" t="str">
        <f>IF($H$8=1,IF(T39=0,0,IF(G39="C",H39,0))," ")</f>
        <v xml:space="preserve"> </v>
      </c>
      <c r="AO39" s="126" t="str">
        <f>IF($H$8=1,IF(T39=0,0,IF(K39="C",J39,0))," ")</f>
        <v xml:space="preserve"> </v>
      </c>
      <c r="AP39" s="126">
        <f>IF($H$8=1," ",IF(T39=0,0,IF(G39="C",H39,0)))</f>
        <v>0</v>
      </c>
      <c r="AQ39" s="126">
        <f>IF($H$8=1," ",IF(T39=0,0,IF(K39="C",J39,0)))</f>
        <v>0</v>
      </c>
      <c r="AR39" s="133">
        <f t="shared" si="12"/>
        <v>0</v>
      </c>
      <c r="AS39" s="133">
        <f t="shared" si="10"/>
        <v>0</v>
      </c>
      <c r="AV39" s="133" t="str">
        <f>IF(T39=0,0,IF($H$8=1,IF(G39="M",H39,0)," "))</f>
        <v xml:space="preserve"> </v>
      </c>
      <c r="AW39" s="133" t="str">
        <f>IF(T39=0,0,IF($H$8=1,IF(K39="M",J39,0)," "))</f>
        <v xml:space="preserve"> </v>
      </c>
      <c r="AX39" s="133">
        <f>IF(T39=0,0,IF($H$8=1," ",IF(G39="M",H39,0)))</f>
        <v>0</v>
      </c>
      <c r="AY39" s="133">
        <f>IF(T39=0,0,IF($H$8=1," ",IF(K39="M",J39,0)))</f>
        <v>0</v>
      </c>
      <c r="BA39" s="133"/>
      <c r="BB39" s="133"/>
      <c r="BC39" s="133" t="str">
        <f>IF(T39=0,0,IF($H$8=1,IF(G39="K",H39,0)," "))</f>
        <v xml:space="preserve"> </v>
      </c>
      <c r="BD39" s="133" t="str">
        <f>IF(T39=0,0,IF($H$8=1,IF(K39="K",J39,0)," "))</f>
        <v xml:space="preserve"> </v>
      </c>
      <c r="BE39" s="133">
        <f>IF(T39=0,0,IF($H$8=1," ",IF(G39="K",H39,0)))</f>
        <v>0</v>
      </c>
      <c r="BF39" s="133">
        <f>IF(T39=0,0,IF($H$8=1," ",IF(K39="K",J39,0)))</f>
        <v>0</v>
      </c>
      <c r="BG39" s="126"/>
      <c r="BI39" s="133">
        <f>IF(T39=0,0,IF(E39="N",H39,0))</f>
        <v>0</v>
      </c>
      <c r="BJ39" s="133">
        <f>IF(T39=0,0,IF(M39="N",J39,0))</f>
        <v>0</v>
      </c>
      <c r="BK39" s="133"/>
      <c r="BL39" s="133"/>
      <c r="BM39" s="133">
        <f>IF(T39=0,0,IF(E39="N",H39,0))</f>
        <v>0</v>
      </c>
      <c r="BN39" s="133">
        <f>IF(T39=0,0,IF(M39="N",J39,0))</f>
        <v>0</v>
      </c>
      <c r="BO39" s="133"/>
      <c r="BP39" s="133"/>
      <c r="BQ39" s="133"/>
      <c r="BR39" s="133"/>
      <c r="BS39" s="133">
        <f>IF(T39=0,0,IF(E39="N",H39,0))</f>
        <v>0</v>
      </c>
      <c r="BT39" s="133">
        <f>IF(T39=0,0,IF(M39="N",J39,0))</f>
        <v>0</v>
      </c>
      <c r="BU39" s="133"/>
      <c r="BV39" s="133"/>
      <c r="BW39" s="133"/>
      <c r="BY39" s="130"/>
      <c r="BZ39" s="130"/>
      <c r="CA39" s="128">
        <v>3</v>
      </c>
      <c r="CB39" s="129">
        <f>IF(SUM(CC38)=0,CC39,0)</f>
        <v>0</v>
      </c>
      <c r="CC39" s="129">
        <f>IF(H$5&lt;4,0,IF(G29="G",0,IF(G29="C",0,IF(G29="M",0,IF(G29="K",0,IF(AND(OR($H$10="FULL",$H$10="AUTO"),OR($H$8=1,$H$8="3Y"),G29="D"),0,3))))))</f>
        <v>0</v>
      </c>
      <c r="CD39" s="128" t="str">
        <f>IF($H$10="NONE","ENTER CIRCUIT #3 LOAD IDENTIFIER  ( G, C, M, K )",IF($H$8="3D","ENTER CIRCUIT #3 LOAD IDENTIFIER  ( G, C, M, K )","ENTER CIRCUIT #3 LOAD IDENTIFIER  ( G, D, C, M, K )"))</f>
        <v>ENTER CIRCUIT #3 LOAD IDENTIFIER  ( G, D, C, M, K )</v>
      </c>
      <c r="CE39" s="129">
        <f>IF(SUM(CF38)=0,CF39,0)</f>
        <v>0</v>
      </c>
      <c r="CF39" s="129">
        <f>IF(H$5&lt;4,0,IF(ISBLANK(F29)=TRUE,3,IF(F29=" ",0,IF(F29="H",0,3))))</f>
        <v>0</v>
      </c>
      <c r="CG39" s="128" t="s">
        <v>91</v>
      </c>
      <c r="CH39" s="129">
        <f>IF(SUM(CH38)=0,CI39,0)</f>
        <v>0</v>
      </c>
      <c r="CI39" s="132">
        <f>IF($H$5&lt;4,0,IF(O15&lt;&gt;"NONE",0,IF(ISBLANK($E29)=TRUE,3,IF($E29=" ",0,IF(AND($H$8&lt;&gt;"3D",$E29="N"),0,3)))))</f>
        <v>0</v>
      </c>
      <c r="CJ39" s="128" t="str">
        <f>IF($H$8&lt;&gt;"3D","ENTER CIRCUIT #3 NEUTRAL IDENTIFIER  ( N or SPACE )","ENTER CIRCUIT #3 NEUTRAL IDENTIFIER  ( SPACE )")</f>
        <v>ENTER CIRCUIT #3 NEUTRAL IDENTIFIER  ( N or SPACE )</v>
      </c>
      <c r="CK39" s="128"/>
      <c r="CL39" s="128"/>
      <c r="CM39" s="128"/>
      <c r="CN39" s="128"/>
      <c r="CO39" s="128"/>
      <c r="CP39" s="128"/>
      <c r="CQ39" s="32"/>
      <c r="CX39" s="62">
        <f t="shared" si="9"/>
        <v>690.00000999999997</v>
      </c>
      <c r="CY39" s="24"/>
      <c r="CZ39" s="22"/>
      <c r="DA39" s="62">
        <f t="shared" si="7"/>
        <v>750</v>
      </c>
      <c r="DB39" s="62">
        <f>DB29*DE39</f>
        <v>750</v>
      </c>
      <c r="DC39" s="62" t="s">
        <v>112</v>
      </c>
      <c r="DD39" s="62">
        <v>16</v>
      </c>
      <c r="DE39" s="62">
        <v>3</v>
      </c>
      <c r="DF39" s="62"/>
      <c r="DG39" s="62"/>
      <c r="DH39" s="62"/>
      <c r="DJ39" s="22"/>
      <c r="DK39" s="22"/>
      <c r="DL39" s="22"/>
      <c r="DM39" s="22"/>
      <c r="DN39" s="22"/>
      <c r="DO39" s="22"/>
      <c r="DP39" s="22"/>
      <c r="DR39" s="76" t="s">
        <v>49</v>
      </c>
      <c r="DS39" s="72">
        <f>DS37+DS38</f>
        <v>60</v>
      </c>
      <c r="DT39" s="27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F39" s="276">
        <v>7</v>
      </c>
      <c r="EG39" s="276">
        <f>IF(EH39&gt;0,7,0)</f>
        <v>7</v>
      </c>
      <c r="EH39" s="276" t="str">
        <f t="shared" si="17"/>
        <v>ERR</v>
      </c>
      <c r="EI39" s="276">
        <f>IF(SUM(EI$33:EI38)=0,IF(EL39&gt;1.799999,2,0),0)</f>
        <v>0</v>
      </c>
      <c r="EJ39" s="276">
        <f>IF(SUM(EJ$33:EJ38)=0,IF(EL39&gt;2.799999,3,0),0)</f>
        <v>0</v>
      </c>
      <c r="EK39" s="62">
        <f>IF(SUM(EK$33:EK38)=0,IF(EL39&gt;3.799999,4,0),0)</f>
        <v>0</v>
      </c>
      <c r="EL39" s="64">
        <f t="shared" si="14"/>
        <v>23.621359223300971</v>
      </c>
      <c r="EM39" s="62">
        <f t="shared" si="15"/>
        <v>8.2400000000000001E-2</v>
      </c>
      <c r="EN39" s="64">
        <f t="shared" si="16"/>
        <v>1.9463999999999999</v>
      </c>
      <c r="EO39" s="62">
        <v>2.5</v>
      </c>
      <c r="EP39" s="22"/>
      <c r="EQ39" s="22"/>
      <c r="ER39" s="22"/>
      <c r="ES39" s="22"/>
    </row>
    <row r="40" spans="1:157" ht="12" customHeight="1">
      <c r="A40" s="92"/>
      <c r="B40" s="106">
        <v>25</v>
      </c>
      <c r="C40" s="674"/>
      <c r="D40" s="671"/>
      <c r="E40" s="668" t="s">
        <v>12</v>
      </c>
      <c r="F40" s="675" t="s">
        <v>12</v>
      </c>
      <c r="G40" s="670" t="s">
        <v>394</v>
      </c>
      <c r="H40" s="669"/>
      <c r="I40" s="108" t="str">
        <f t="shared" si="11"/>
        <v>L1</v>
      </c>
      <c r="J40" s="669"/>
      <c r="K40" s="670" t="s">
        <v>394</v>
      </c>
      <c r="L40" s="675" t="s">
        <v>12</v>
      </c>
      <c r="M40" s="668" t="s">
        <v>12</v>
      </c>
      <c r="N40" s="671"/>
      <c r="O40" s="672"/>
      <c r="P40" s="106">
        <v>26</v>
      </c>
      <c r="Q40" s="110"/>
      <c r="T40" s="126">
        <f>IF($H$5&gt;24,1,0)</f>
        <v>1</v>
      </c>
      <c r="U40" s="126" t="str">
        <f>IF($H$8=1,"L1","L1")</f>
        <v>L1</v>
      </c>
      <c r="W40" s="133">
        <f>IF(T40=0,0,(H40+J40))</f>
        <v>0</v>
      </c>
      <c r="Z40" s="133">
        <f>IF(T40=0,0,IF(G40="G",H40,0))</f>
        <v>0</v>
      </c>
      <c r="AA40" s="133">
        <f>IF(T40=0,0,IF(K40="G",J40,0))</f>
        <v>0</v>
      </c>
      <c r="AF40" s="126">
        <f>IF(T40=0,0,IF(G40="D",H40,0))</f>
        <v>0</v>
      </c>
      <c r="AG40" s="126">
        <f>IF(T40=0,0,IF(K40="D",J40,0))</f>
        <v>0</v>
      </c>
      <c r="AL40" s="126">
        <f>IF(T40=0,0,IF(G40="C",H40,0))</f>
        <v>0</v>
      </c>
      <c r="AM40" s="126">
        <f>IF(T40=0,0,IF(K40="C",J40,0))</f>
        <v>0</v>
      </c>
      <c r="AR40" s="133">
        <f t="shared" si="12"/>
        <v>0</v>
      </c>
      <c r="AS40" s="133">
        <f t="shared" si="10"/>
        <v>0</v>
      </c>
      <c r="AT40" s="133">
        <f>IF(T40=0,0,IF(G40="M",H40,0))</f>
        <v>0</v>
      </c>
      <c r="AU40" s="133">
        <f>IF(T40=0,0,IF(K40="M",J40,0))</f>
        <v>0</v>
      </c>
      <c r="BA40" s="133">
        <f>IF(T40=0,0,IF(G40="K",H40,0))</f>
        <v>0</v>
      </c>
      <c r="BB40" s="133">
        <f>IF(T40=0,0,IF(K40="K",J40,0))</f>
        <v>0</v>
      </c>
      <c r="BC40" s="133"/>
      <c r="BD40" s="133"/>
      <c r="BE40" s="133"/>
      <c r="BF40" s="133"/>
      <c r="BG40" s="126">
        <f>IF(T40=0,0,IF(E40="N",H40,0))</f>
        <v>0</v>
      </c>
      <c r="BH40" s="133">
        <f>IF(T40=0,0,IF(M40="N",J40,0))</f>
        <v>0</v>
      </c>
      <c r="BK40" s="133">
        <f>IF(T40=0,0,IF(E40="N",H40,0))</f>
        <v>0</v>
      </c>
      <c r="BL40" s="133">
        <f>IF(T40=0,0,IF(M40="N",J40,0))</f>
        <v>0</v>
      </c>
      <c r="BM40" s="133"/>
      <c r="BN40" s="133"/>
      <c r="BO40" s="133">
        <f>IF(T40=0,0,IF(E40="N",H40,0))</f>
        <v>0</v>
      </c>
      <c r="BP40" s="133">
        <f>IF(T40=0,0,IF(M40="N",J40,0))</f>
        <v>0</v>
      </c>
      <c r="BQ40" s="133"/>
      <c r="BR40" s="133"/>
      <c r="BS40" s="133"/>
      <c r="BT40" s="133"/>
      <c r="BU40" s="133"/>
      <c r="BV40" s="133"/>
      <c r="BW40" s="133"/>
      <c r="BY40" s="130"/>
      <c r="BZ40" s="130"/>
      <c r="CA40" s="128">
        <v>5</v>
      </c>
      <c r="CB40" s="129">
        <f>IF(SUM(CB38:CB39)=0,CC40,0)</f>
        <v>0</v>
      </c>
      <c r="CC40" s="129">
        <f>IF(H$5&lt;6,0,IF(G30="G",0,IF(G30="C",0,IF(G30="M",0,IF(G30="K",0,IF(AND(OR($H$10="FULL",$H$10="AUTO"),G30="D"),0,5))))))</f>
        <v>0</v>
      </c>
      <c r="CD40" s="128" t="str">
        <f>IF($H$10="NONE","ENTER CIRCUIT #5 LOAD IDENTIFIER  ( G, C, M, K )","ENTER CIRCUIT #5 LOAD IDENTIFIER  ( G, D, C, M, K )")</f>
        <v>ENTER CIRCUIT #5 LOAD IDENTIFIER  ( G, D, C, M, K )</v>
      </c>
      <c r="CE40" s="129">
        <f>IF(SUM(CE38:CE39)=0,CF40,0)</f>
        <v>0</v>
      </c>
      <c r="CF40" s="129">
        <f>IF(H$5&lt;6,0,IF(ISBLANK(F30)=TRUE,5,IF(F30=" ",0,IF(F30="H",0,5))))</f>
        <v>0</v>
      </c>
      <c r="CG40" s="128" t="s">
        <v>94</v>
      </c>
      <c r="CH40" s="129">
        <f>IF(SUM(CH$38:CH39)=0,CI40,0)</f>
        <v>0</v>
      </c>
      <c r="CI40" s="132">
        <f>IF($H$5&lt;6,0,IF(O15="3-PHASE",0,IF(AND(O15="1-PHASE",H8="3D"),0,IF(ISBLANK($E30)=TRUE,5,IF($E30="N",0,IF($E30=" ",0,5))))))</f>
        <v>0</v>
      </c>
      <c r="CJ40" s="128" t="s">
        <v>444</v>
      </c>
      <c r="CK40" s="128"/>
      <c r="CL40" s="128"/>
      <c r="CM40" s="128"/>
      <c r="CN40" s="128"/>
      <c r="CO40" s="128"/>
      <c r="CP40" s="128"/>
      <c r="CQ40" s="32"/>
      <c r="CX40" s="62">
        <f t="shared" si="9"/>
        <v>750.00000999999997</v>
      </c>
      <c r="CY40" s="24"/>
      <c r="CZ40" s="22"/>
      <c r="DA40" s="62">
        <f t="shared" si="7"/>
        <v>810</v>
      </c>
      <c r="DB40" s="62">
        <f>DB30*DE40</f>
        <v>810</v>
      </c>
      <c r="DC40" s="62" t="s">
        <v>114</v>
      </c>
      <c r="DD40" s="62">
        <v>17</v>
      </c>
      <c r="DE40" s="62">
        <v>3</v>
      </c>
      <c r="DF40" s="62"/>
      <c r="DG40" s="62"/>
      <c r="DH40" s="62"/>
      <c r="DJ40" s="22"/>
      <c r="DR40" s="22" t="s">
        <v>528</v>
      </c>
      <c r="DS40" s="22">
        <f>IF(AND(H8="3D",H9="AUTO"),VLOOKUP(CV10,DR13:DS34,2),0)</f>
        <v>0</v>
      </c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F40" s="276">
        <v>8</v>
      </c>
      <c r="EG40" s="276">
        <f>IF(EH40&gt;0,8,0)</f>
        <v>8</v>
      </c>
      <c r="EH40" s="276" t="str">
        <f t="shared" si="17"/>
        <v>ERR</v>
      </c>
      <c r="EI40" s="276">
        <f>IF(SUM(EI$33:EI39)=0,IF(EL40&gt;1.799999,2,0),0)</f>
        <v>0</v>
      </c>
      <c r="EJ40" s="276">
        <f>IF(SUM(EJ$33:EJ39)=0,IF(EL40&gt;2.799999,3,0),0)</f>
        <v>0</v>
      </c>
      <c r="EK40" s="62">
        <f>IF(SUM(EK$33:EK39)=0,IF(EL40&gt;3.799999,4,0),0)</f>
        <v>0</v>
      </c>
      <c r="EL40" s="64">
        <f t="shared" si="14"/>
        <v>36.402912621359221</v>
      </c>
      <c r="EM40" s="62">
        <f t="shared" si="15"/>
        <v>8.2400000000000001E-2</v>
      </c>
      <c r="EN40" s="64">
        <f t="shared" si="16"/>
        <v>2.9996</v>
      </c>
      <c r="EO40" s="62">
        <v>3</v>
      </c>
      <c r="EP40" s="22"/>
      <c r="EQ40" s="22"/>
      <c r="ER40" s="22"/>
      <c r="ES40" s="22"/>
    </row>
    <row r="41" spans="1:157" ht="12" customHeight="1">
      <c r="A41" s="92"/>
      <c r="B41" s="106">
        <v>27</v>
      </c>
      <c r="C41" s="674"/>
      <c r="D41" s="671"/>
      <c r="E41" s="668" t="s">
        <v>12</v>
      </c>
      <c r="F41" s="675" t="s">
        <v>12</v>
      </c>
      <c r="G41" s="670" t="s">
        <v>394</v>
      </c>
      <c r="H41" s="669"/>
      <c r="I41" s="108" t="str">
        <f t="shared" si="11"/>
        <v>L2</v>
      </c>
      <c r="J41" s="669"/>
      <c r="K41" s="670" t="s">
        <v>394</v>
      </c>
      <c r="L41" s="675" t="s">
        <v>12</v>
      </c>
      <c r="M41" s="668" t="s">
        <v>12</v>
      </c>
      <c r="N41" s="671"/>
      <c r="O41" s="672"/>
      <c r="P41" s="106">
        <v>28</v>
      </c>
      <c r="Q41" s="110"/>
      <c r="T41" s="126">
        <f>IF($H$5&gt;26,1,0)</f>
        <v>1</v>
      </c>
      <c r="U41" s="126" t="str">
        <f>IF($H$8=1,"L2","L2")</f>
        <v>L2</v>
      </c>
      <c r="X41" s="133">
        <f>IF(T41=0,0,(H41+J41))</f>
        <v>0</v>
      </c>
      <c r="AB41" s="133">
        <f>IF(T41=0,0,IF(G41="G",H41,0))</f>
        <v>0</v>
      </c>
      <c r="AC41" s="133">
        <f>IF(T41=0,0,IF(K41="G",J41,0))</f>
        <v>0</v>
      </c>
      <c r="AH41" s="126">
        <f>IF(T41=0,0,IF(G41="D",H41,0))</f>
        <v>0</v>
      </c>
      <c r="AI41" s="126">
        <f>IF(T41=0,0,IF(K41="D",J41,0))</f>
        <v>0</v>
      </c>
      <c r="AN41" s="126">
        <f>IF(T41=0,0,IF(G41="C",H41,0))</f>
        <v>0</v>
      </c>
      <c r="AO41" s="126">
        <f>IF(T41=0,0,IF(K41="C",J41,0))</f>
        <v>0</v>
      </c>
      <c r="AR41" s="133">
        <f t="shared" si="12"/>
        <v>0</v>
      </c>
      <c r="AS41" s="133">
        <f t="shared" si="10"/>
        <v>0</v>
      </c>
      <c r="AV41" s="133">
        <f>IF(T41=0,0,IF(G41="M",H41,0))</f>
        <v>0</v>
      </c>
      <c r="AW41" s="133">
        <f>IF(T41=0,0,IF(K41="M",J41,0))</f>
        <v>0</v>
      </c>
      <c r="BA41" s="133"/>
      <c r="BB41" s="133"/>
      <c r="BC41" s="133">
        <f>IF(T41=0,0,IF(G41="K",H41,0))</f>
        <v>0</v>
      </c>
      <c r="BD41" s="133">
        <f>IF(T41=0,0,IF(K41="K",J41,0))</f>
        <v>0</v>
      </c>
      <c r="BE41" s="133"/>
      <c r="BF41" s="133"/>
      <c r="BK41" s="133"/>
      <c r="BL41" s="133"/>
      <c r="BM41" s="133">
        <f>IF(T41=0,0,IF(E41="N",H41,0))</f>
        <v>0</v>
      </c>
      <c r="BN41" s="133">
        <f>IF(T41=0,0,IF(M41="N",J41,0))</f>
        <v>0</v>
      </c>
      <c r="BO41" s="133"/>
      <c r="BP41" s="133"/>
      <c r="BQ41" s="133">
        <f>IF(T41=0,0,IF(E41="N",H41,0))</f>
        <v>0</v>
      </c>
      <c r="BR41" s="133">
        <f>IF(T41=0,0,IF(M41="N",J41,0))</f>
        <v>0</v>
      </c>
      <c r="BS41" s="133"/>
      <c r="BT41" s="133"/>
      <c r="BU41" s="133"/>
      <c r="BV41" s="133"/>
      <c r="BW41" s="133"/>
      <c r="BY41" s="130"/>
      <c r="BZ41" s="130"/>
      <c r="CA41" s="128">
        <v>7</v>
      </c>
      <c r="CB41" s="129">
        <f>IF(SUM(CB$38:CB40)=0,CC41,0)</f>
        <v>0</v>
      </c>
      <c r="CC41" s="129">
        <f>IF(H$5&lt;8,0,IF(G31="G",0,IF(G31="C",0,IF(G31="M",0,IF(G31="K",0,IF(AND(OR($H$10="FULL",$H$10="AUTO"),G31="D"),0,7))))))</f>
        <v>0</v>
      </c>
      <c r="CD41" s="128" t="str">
        <f>IF($H$10="NONE","ENTER CIRCUIT #7 LOAD IDENTIFIER  ( G, C, M, K )","ENTER CIRCUIT #7 LOAD IDENTIFIER  ( G, D, C, M, K )")</f>
        <v>ENTER CIRCUIT #7 LOAD IDENTIFIER  ( G, D, C, M, K )</v>
      </c>
      <c r="CE41" s="129">
        <f>IF(SUM(CE$38:CE40)=0,CF41,0)</f>
        <v>0</v>
      </c>
      <c r="CF41" s="129">
        <f>IF(H$5&lt;8,0,IF(ISBLANK(F31)=TRUE,7,IF(F31=" ",0,IF(F31="H",0,7))))</f>
        <v>0</v>
      </c>
      <c r="CG41" s="128" t="s">
        <v>99</v>
      </c>
      <c r="CH41" s="129">
        <f>IF(SUM(CH$38:CH40)=0,CI41,0)</f>
        <v>0</v>
      </c>
      <c r="CI41" s="132">
        <f>IF($H$5&lt;8,0,IF(ISBLANK($E31)=TRUE,7,IF($E31="N",0,IF($E31=" ",0,7))))</f>
        <v>0</v>
      </c>
      <c r="CJ41" s="128" t="s">
        <v>445</v>
      </c>
      <c r="CK41" s="128"/>
      <c r="CL41" s="128"/>
      <c r="CM41" s="128"/>
      <c r="CN41" s="128"/>
      <c r="CO41" s="128"/>
      <c r="CP41" s="128"/>
      <c r="CQ41" s="32"/>
      <c r="CX41" s="57">
        <f t="shared" si="9"/>
        <v>810.00000999999997</v>
      </c>
      <c r="CY41" s="24"/>
      <c r="CZ41" s="22"/>
      <c r="DA41" s="57">
        <f t="shared" si="7"/>
        <v>930</v>
      </c>
      <c r="DB41" s="57">
        <f>DB31*DE41</f>
        <v>930</v>
      </c>
      <c r="DC41" s="57" t="s">
        <v>116</v>
      </c>
      <c r="DD41" s="57">
        <v>18</v>
      </c>
      <c r="DE41" s="57">
        <v>3</v>
      </c>
      <c r="DF41" s="57"/>
      <c r="DG41" s="57"/>
      <c r="DH41" s="57"/>
      <c r="DJ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F41" s="276">
        <v>9</v>
      </c>
      <c r="EG41" s="276">
        <f>IF(EH41&gt;0,8,0)</f>
        <v>8</v>
      </c>
      <c r="EH41" s="276" t="str">
        <f t="shared" si="17"/>
        <v>ERR</v>
      </c>
      <c r="EI41" s="276">
        <f>IF(SUM(EI$33:EI40)=0,IF(EL41&gt;1.799999,2,0),0)</f>
        <v>0</v>
      </c>
      <c r="EJ41" s="276">
        <f>IF(SUM(EJ$33:EJ40)=0,IF(EL41&gt;2.799999,3,0),0)</f>
        <v>0</v>
      </c>
      <c r="EK41" s="62">
        <f>IF(SUM(EK$33:EK40)=0,IF(EL41&gt;3.799999,4,0),0)</f>
        <v>0</v>
      </c>
      <c r="EL41" s="64">
        <f t="shared" si="14"/>
        <v>48.592233009708742</v>
      </c>
      <c r="EM41" s="62">
        <f t="shared" si="15"/>
        <v>8.2400000000000001E-2</v>
      </c>
      <c r="EN41" s="64">
        <f t="shared" si="16"/>
        <v>4.0040000000000004</v>
      </c>
      <c r="EO41" s="62">
        <v>3.5</v>
      </c>
      <c r="EP41" s="22"/>
      <c r="EQ41" s="22"/>
      <c r="ER41" s="22"/>
      <c r="ES41" s="22"/>
    </row>
    <row r="42" spans="1:157" s="22" customFormat="1" ht="12" customHeight="1">
      <c r="A42" s="92"/>
      <c r="B42" s="106">
        <v>29</v>
      </c>
      <c r="C42" s="674"/>
      <c r="D42" s="671"/>
      <c r="E42" s="668" t="s">
        <v>12</v>
      </c>
      <c r="F42" s="675" t="s">
        <v>12</v>
      </c>
      <c r="G42" s="670" t="s">
        <v>394</v>
      </c>
      <c r="H42" s="669"/>
      <c r="I42" s="108" t="str">
        <f t="shared" si="11"/>
        <v>L3</v>
      </c>
      <c r="J42" s="669"/>
      <c r="K42" s="670" t="s">
        <v>394</v>
      </c>
      <c r="L42" s="675" t="s">
        <v>12</v>
      </c>
      <c r="M42" s="668" t="s">
        <v>12</v>
      </c>
      <c r="N42" s="671"/>
      <c r="O42" s="672"/>
      <c r="P42" s="106">
        <v>30</v>
      </c>
      <c r="Q42" s="110"/>
      <c r="R42" s="1"/>
      <c r="S42" s="1"/>
      <c r="T42" s="126">
        <f>IF($H$5&gt;28,1,0)</f>
        <v>1</v>
      </c>
      <c r="U42" s="126" t="str">
        <f>IF($H$8=1,"L1","L3")</f>
        <v>L3</v>
      </c>
      <c r="V42" s="1"/>
      <c r="W42" s="133" t="str">
        <f>IF(T42=0,0,IF($H$8=1,(H42+J42)," "))</f>
        <v xml:space="preserve"> </v>
      </c>
      <c r="X42" s="133"/>
      <c r="Y42" s="133">
        <f>IF(T42=0,0,IF($H$8=1," ",(H42+J42)))</f>
        <v>0</v>
      </c>
      <c r="Z42" s="133" t="str">
        <f>IF($H$8=1,IF(T42=0,0,IF(G42="G",H42,0))," ")</f>
        <v xml:space="preserve"> </v>
      </c>
      <c r="AA42" s="133" t="str">
        <f>IF($H$8=1,IF(T42=0,0,IF(K42="G",J42,0))," ")</f>
        <v xml:space="preserve"> </v>
      </c>
      <c r="AB42" s="133"/>
      <c r="AC42" s="133"/>
      <c r="AD42" s="133">
        <f>IF($H$8=1," ",IF(T42=0,0,IF(G42="G",H42,0)))</f>
        <v>0</v>
      </c>
      <c r="AE42" s="133">
        <f>IF($H$8=1," ",IF(T42=0,0,IF(K42="G",J42,0)))</f>
        <v>0</v>
      </c>
      <c r="AF42" s="126" t="str">
        <f>IF($H$8=1,IF(T42=0,0,IF(G42="D",H42,0))," ")</f>
        <v xml:space="preserve"> </v>
      </c>
      <c r="AG42" s="126" t="str">
        <f>IF($H$8=1,IF(T42=0,0,IF(K42="D",J42,0))," ")</f>
        <v xml:space="preserve"> </v>
      </c>
      <c r="AH42" s="126"/>
      <c r="AI42" s="126"/>
      <c r="AJ42" s="126">
        <f>IF($H$8=1," ",IF(T42=0,0,IF(G42="D",H42,0)))</f>
        <v>0</v>
      </c>
      <c r="AK42" s="126">
        <f>IF($H$8=1," ",IF(T42=0,0,IF(K42="D",J42,0)))</f>
        <v>0</v>
      </c>
      <c r="AL42" s="126" t="str">
        <f>IF($H$8=1,IF(T42=0,0,IF(G42="C",H42,0))," ")</f>
        <v xml:space="preserve"> </v>
      </c>
      <c r="AM42" s="126" t="str">
        <f>IF($H$8=1,IF(T42=0,0,IF(K42="C",J42,0))," ")</f>
        <v xml:space="preserve"> </v>
      </c>
      <c r="AN42" s="126"/>
      <c r="AO42" s="126"/>
      <c r="AP42" s="126">
        <f>IF($H$8=1," ",IF(T42=0,0,IF(G42="C",H42,0)))</f>
        <v>0</v>
      </c>
      <c r="AQ42" s="126">
        <f>IF($H$8=1," ",IF(T42=0,0,IF(K42="C",J42,0)))</f>
        <v>0</v>
      </c>
      <c r="AR42" s="133">
        <f t="shared" si="12"/>
        <v>0</v>
      </c>
      <c r="AS42" s="133">
        <f t="shared" si="10"/>
        <v>0</v>
      </c>
      <c r="AT42" s="133" t="str">
        <f>IF(T42=0,0,IF($H$8=1,IF(G42="M",H42,0)," "))</f>
        <v xml:space="preserve"> </v>
      </c>
      <c r="AU42" s="133" t="str">
        <f>IF(T42=0,0,IF($H$8=1,IF(K42="M",J42,0)," "))</f>
        <v xml:space="preserve"> </v>
      </c>
      <c r="AV42" s="133"/>
      <c r="AW42" s="133"/>
      <c r="AX42" s="133">
        <f>IF(T42=0,0,IF($H$8=1," ",IF(G42="M",H42,0)))</f>
        <v>0</v>
      </c>
      <c r="AY42" s="133">
        <f>IF(T42=0,0,IF($H$8=1," ",IF(K42="M",J42,0)))</f>
        <v>0</v>
      </c>
      <c r="AZ42" s="133"/>
      <c r="BA42" s="133" t="str">
        <f>IF(T42=0,0,IF($H$8=1,IF(G42="K",H42,0)," "))</f>
        <v xml:space="preserve"> </v>
      </c>
      <c r="BB42" s="133" t="str">
        <f>IF(T42=0,0,IF($H$8=1,IF(K42="K",J42,0)," "))</f>
        <v xml:space="preserve"> </v>
      </c>
      <c r="BC42" s="133"/>
      <c r="BD42" s="133"/>
      <c r="BE42" s="133">
        <f>IF(T42=0,0,IF($H$8=1," ",IF(G42="K",H42,0)))</f>
        <v>0</v>
      </c>
      <c r="BF42" s="133">
        <f>IF(T42=0,0,IF($H$8=1," ",IF(K42="K",J42,0)))</f>
        <v>0</v>
      </c>
      <c r="BG42" s="126"/>
      <c r="BH42" s="133"/>
      <c r="BI42" s="133">
        <f>IF(T42=0,0,IF(E42="N",H42,0))</f>
        <v>0</v>
      </c>
      <c r="BJ42" s="133">
        <f>IF(T42=0,0,IF(M42="N",J42,0))</f>
        <v>0</v>
      </c>
      <c r="BK42" s="133">
        <f>IF(T42=0,0,IF(E42="N",H42,0))</f>
        <v>0</v>
      </c>
      <c r="BL42" s="133">
        <f>IF(T42=0,0,IF(M42="N",J42,0))</f>
        <v>0</v>
      </c>
      <c r="BM42" s="133"/>
      <c r="BN42" s="133"/>
      <c r="BO42" s="133"/>
      <c r="BP42" s="133"/>
      <c r="BQ42" s="133"/>
      <c r="BR42" s="133"/>
      <c r="BS42" s="133">
        <f>IF(T42=0,0,IF(E42="N",H42,0))</f>
        <v>0</v>
      </c>
      <c r="BT42" s="133">
        <f>IF(T42=0,0,IF(M42="N",J42,0))</f>
        <v>0</v>
      </c>
      <c r="BU42" s="133"/>
      <c r="BV42" s="133"/>
      <c r="BW42" s="133"/>
      <c r="BY42" s="130"/>
      <c r="BZ42" s="130"/>
      <c r="CA42" s="128">
        <v>9</v>
      </c>
      <c r="CB42" s="129">
        <f>IF(SUM(CB$38:CB41)=0,CC42,0)</f>
        <v>0</v>
      </c>
      <c r="CC42" s="129">
        <f>IF(H$5&lt;10,0,IF(G32="G",0,IF(G32="C",0,IF(G32="M",0,IF(G32="K",0,IF(AND(OR($H$10="FULL",$H$10="AUTO"),OR($H$8=1,$H$8="3Y"),G32="D"),0,9))))))</f>
        <v>0</v>
      </c>
      <c r="CD42" s="128" t="str">
        <f>IF($H$10="NONE","ENTER CIRCUIT #9 LOAD IDENTIFIER  ( G, C, M, K )",IF($H$8="3D","ENTER CIRCUIT #9 LOAD IDENTIFIER  ( G, C, M, K )","ENTER CIRCUIT #9 LOAD IDENTIFIER  ( G, D, C, M, K )"))</f>
        <v>ENTER CIRCUIT #9 LOAD IDENTIFIER  ( G, D, C, M, K )</v>
      </c>
      <c r="CE42" s="129">
        <f>IF(SUM(CE$38:CE41)=0,CF42,0)</f>
        <v>0</v>
      </c>
      <c r="CF42" s="129">
        <f>IF(H$5&lt;10,0,IF(ISBLANK(F32)=TRUE,9,IF(F32=" ",0,IF(F32="H",0,9))))</f>
        <v>0</v>
      </c>
      <c r="CG42" s="128" t="s">
        <v>102</v>
      </c>
      <c r="CH42" s="129">
        <f>IF(SUM(CH$38:CH41)=0,CI42,0)</f>
        <v>0</v>
      </c>
      <c r="CI42" s="132">
        <f>IF($H$5&lt;10,0,IF(ISBLANK($E32)=TRUE,9,IF($E32=" ",0,IF(AND($H$8&lt;&gt;"3D",$E32="N"),0,9))))</f>
        <v>0</v>
      </c>
      <c r="CJ42" s="128" t="str">
        <f>IF($H$8&lt;&gt;"3D","ENTER CIRCUIT #9 NEUTRAL IDENTIFIER  ( N or SPACE )","ENTER CIRCUIT #9 NEUTRAL IDENTIFIER  ( SPACE )")</f>
        <v>ENTER CIRCUIT #9 NEUTRAL IDENTIFIER  ( N or SPACE )</v>
      </c>
      <c r="CK42" s="128"/>
      <c r="CL42" s="128"/>
      <c r="CM42" s="128"/>
      <c r="CN42" s="128"/>
      <c r="CO42" s="128"/>
      <c r="CP42" s="128"/>
      <c r="CQ42" s="32"/>
      <c r="CX42" s="62">
        <f t="shared" si="9"/>
        <v>930.00000999999997</v>
      </c>
      <c r="CY42" s="24"/>
      <c r="DA42" s="62">
        <f t="shared" si="7"/>
        <v>1000</v>
      </c>
      <c r="DB42" s="62">
        <f>DB29*DE42</f>
        <v>1000</v>
      </c>
      <c r="DC42" s="62" t="s">
        <v>112</v>
      </c>
      <c r="DD42" s="62">
        <v>16</v>
      </c>
      <c r="DE42" s="62">
        <v>4</v>
      </c>
      <c r="DF42" s="62"/>
      <c r="DG42" s="62"/>
      <c r="DH42" s="62"/>
      <c r="DK42" s="1"/>
      <c r="DL42" s="1"/>
      <c r="DM42" s="1"/>
      <c r="DN42" s="1"/>
      <c r="DO42" s="1"/>
      <c r="DP42" s="1"/>
      <c r="EE42" s="1"/>
      <c r="EF42" s="278">
        <v>10</v>
      </c>
      <c r="EG42" s="278">
        <f>IF(EH42&gt;0,10,0)</f>
        <v>10</v>
      </c>
      <c r="EH42" s="278" t="str">
        <f t="shared" si="17"/>
        <v>ERR</v>
      </c>
      <c r="EI42" s="278">
        <f>IF(SUM(EI$33:EI41)=0,IF(EL42&gt;1.799999,2,0),0)</f>
        <v>0</v>
      </c>
      <c r="EJ42" s="278">
        <f>IF(SUM(EJ$33:EJ41)=0,IF(EL42&gt;2.799999,3,0),0)</f>
        <v>0</v>
      </c>
      <c r="EK42" s="57">
        <f>IF(SUM(EK$33:EK41)=0,IF(EL42&gt;3.799999,4,0),0)</f>
        <v>0</v>
      </c>
      <c r="EL42" s="68">
        <f t="shared" si="14"/>
        <v>62.296116504854375</v>
      </c>
      <c r="EM42" s="57">
        <f t="shared" si="15"/>
        <v>8.2400000000000001E-2</v>
      </c>
      <c r="EN42" s="68">
        <f t="shared" si="16"/>
        <v>5.1332000000000004</v>
      </c>
      <c r="EO42" s="57">
        <v>4</v>
      </c>
      <c r="ET42" s="1"/>
      <c r="EU42" s="1"/>
      <c r="EV42" s="1"/>
      <c r="EW42" s="1"/>
      <c r="EX42" s="1"/>
      <c r="EY42" s="1"/>
      <c r="EZ42" s="1"/>
      <c r="FA42" s="1"/>
    </row>
    <row r="43" spans="1:157" s="22" customFormat="1" ht="12" customHeight="1">
      <c r="A43" s="92"/>
      <c r="B43" s="106">
        <v>31</v>
      </c>
      <c r="C43" s="674"/>
      <c r="D43" s="671"/>
      <c r="E43" s="668" t="s">
        <v>12</v>
      </c>
      <c r="F43" s="675" t="s">
        <v>12</v>
      </c>
      <c r="G43" s="670" t="s">
        <v>394</v>
      </c>
      <c r="H43" s="669"/>
      <c r="I43" s="108" t="str">
        <f t="shared" si="11"/>
        <v>L1</v>
      </c>
      <c r="J43" s="669"/>
      <c r="K43" s="670" t="s">
        <v>394</v>
      </c>
      <c r="L43" s="675" t="s">
        <v>12</v>
      </c>
      <c r="M43" s="668" t="s">
        <v>12</v>
      </c>
      <c r="N43" s="671"/>
      <c r="O43" s="672"/>
      <c r="P43" s="106">
        <v>32</v>
      </c>
      <c r="Q43" s="110"/>
      <c r="R43" s="1"/>
      <c r="S43" s="1"/>
      <c r="T43" s="126">
        <f>IF($H$5&gt;30,1,0)</f>
        <v>1</v>
      </c>
      <c r="U43" s="126" t="str">
        <f>IF($H$8=1,"L2","L1")</f>
        <v>L1</v>
      </c>
      <c r="V43" s="1"/>
      <c r="W43" s="133">
        <f>IF(T43=0,0,IF($H$8=1," ",(H43+J43)))</f>
        <v>0</v>
      </c>
      <c r="X43" s="133" t="str">
        <f>IF(T43=0,0,IF($H$8=1,(H43+J43)," "))</f>
        <v xml:space="preserve"> </v>
      </c>
      <c r="Y43" s="133"/>
      <c r="Z43" s="133">
        <f>IF($H$8=1," ",IF(T43=0,0,IF(G43="G",H43,0)))</f>
        <v>0</v>
      </c>
      <c r="AA43" s="133">
        <f>IF($H$8=1," ",IF(T43=0,0,IF(K43="G",J43,0)))</f>
        <v>0</v>
      </c>
      <c r="AB43" s="133" t="str">
        <f>IF($H$8=1,IF(T43=0,0,IF(G43="G",H43,0))," ")</f>
        <v xml:space="preserve"> </v>
      </c>
      <c r="AC43" s="133" t="str">
        <f>IF($H$8=1,IF(T43=0,0,IF(K43="G",J43,0))," ")</f>
        <v xml:space="preserve"> </v>
      </c>
      <c r="AD43" s="133"/>
      <c r="AE43" s="133"/>
      <c r="AF43" s="126">
        <f>IF($H$8=1," ",IF(T43=0,0,IF(G43="D",H43,0)))</f>
        <v>0</v>
      </c>
      <c r="AG43" s="126">
        <f>IF($H$8=1," ",IF(T43=0,0,IF(K43="D",J43,0)))</f>
        <v>0</v>
      </c>
      <c r="AH43" s="126" t="str">
        <f>IF($H$8=1,IF(T43=0,0,IF(G43="D",H43,0))," ")</f>
        <v xml:space="preserve"> </v>
      </c>
      <c r="AI43" s="126" t="str">
        <f>IF($H$8=1,IF(T43=0,0,IF(K43="D",J43,0))," ")</f>
        <v xml:space="preserve"> </v>
      </c>
      <c r="AJ43" s="126"/>
      <c r="AK43" s="126"/>
      <c r="AL43" s="126">
        <f>IF($H$8=1," ",IF(T43=0,0,IF(G43="C",H43,0)))</f>
        <v>0</v>
      </c>
      <c r="AM43" s="126">
        <f>IF($H$8=1," ",IF(T43=0,0,IF(K43="C",J43,0)))</f>
        <v>0</v>
      </c>
      <c r="AN43" s="126" t="str">
        <f>IF($H$8=1,IF(T43=0,0,IF(G43="C",H43,0))," ")</f>
        <v xml:space="preserve"> </v>
      </c>
      <c r="AO43" s="126" t="str">
        <f>IF($H$8=1,IF(T43=0,0,IF(K43="C",J43,0))," ")</f>
        <v xml:space="preserve"> </v>
      </c>
      <c r="AP43" s="126"/>
      <c r="AQ43" s="126"/>
      <c r="AR43" s="133">
        <f t="shared" si="12"/>
        <v>0</v>
      </c>
      <c r="AS43" s="133">
        <f t="shared" si="10"/>
        <v>0</v>
      </c>
      <c r="AT43" s="133">
        <f>IF(T43=0,0,IF($H$8=1," ",IF(G43="M",H43,0)))</f>
        <v>0</v>
      </c>
      <c r="AU43" s="133">
        <f>IF(T43=0,0,IF($H$8=1," ",IF(K43="M",J43,0)))</f>
        <v>0</v>
      </c>
      <c r="AV43" s="133" t="str">
        <f>IF(T43=0,0,IF($H$8=1,IF(G43="M",H43,0)," "))</f>
        <v xml:space="preserve"> </v>
      </c>
      <c r="AW43" s="133" t="str">
        <f>IF(T43=0,0,IF($H$8=1,IF(K43="M",J43,0)," "))</f>
        <v xml:space="preserve"> </v>
      </c>
      <c r="AX43" s="133"/>
      <c r="AY43" s="133"/>
      <c r="AZ43" s="133"/>
      <c r="BA43" s="133">
        <f>IF(T43=0,0,IF($H$8=1," ",IF(G43="K",H43,0)))</f>
        <v>0</v>
      </c>
      <c r="BB43" s="133">
        <f>IF(T43=0,0,IF($H$8=1," ",IF(K43="K",J43,0)))</f>
        <v>0</v>
      </c>
      <c r="BC43" s="133" t="str">
        <f>IF(T43=0,0,IF($H$8=1,IF(G43="K",H43,0)," "))</f>
        <v xml:space="preserve"> </v>
      </c>
      <c r="BD43" s="133" t="str">
        <f>IF(T43=0,0,IF($H$8=1,IF(K43="K",J43,0)," "))</f>
        <v xml:space="preserve"> </v>
      </c>
      <c r="BE43" s="133"/>
      <c r="BF43" s="133"/>
      <c r="BG43" s="126">
        <f>IF(T43=0,0,IF(E43="N",H43,0))</f>
        <v>0</v>
      </c>
      <c r="BH43" s="133">
        <f>IF(T43=0,0,IF(M43="N",J43,0))</f>
        <v>0</v>
      </c>
      <c r="BI43" s="133"/>
      <c r="BJ43" s="133"/>
      <c r="BK43" s="133"/>
      <c r="BL43" s="133"/>
      <c r="BM43" s="133">
        <f>IF(T43=0,0,IF(E43="N",H43,0))</f>
        <v>0</v>
      </c>
      <c r="BN43" s="133">
        <f>IF(T43=0,0,IF(M43="N",J43,0))</f>
        <v>0</v>
      </c>
      <c r="BO43" s="133">
        <f>IF(T43=0,0,IF(E43="N",H43,0))</f>
        <v>0</v>
      </c>
      <c r="BP43" s="133">
        <f>IF(T43=0,0,IF(M43="N",J43,0))</f>
        <v>0</v>
      </c>
      <c r="BQ43" s="133"/>
      <c r="BR43" s="133"/>
      <c r="BS43" s="133"/>
      <c r="BT43" s="133"/>
      <c r="BU43" s="133"/>
      <c r="BV43" s="133"/>
      <c r="BW43" s="133"/>
      <c r="BY43" s="130"/>
      <c r="BZ43" s="130"/>
      <c r="CA43" s="128">
        <v>11</v>
      </c>
      <c r="CB43" s="129">
        <f>IF(SUM(CB$38:CB42)=0,CC43,0)</f>
        <v>0</v>
      </c>
      <c r="CC43" s="129">
        <f>IF(H$5&lt;12,0,IF(G33="G",0,IF(G33="C",0,IF(G33="M",0,IF(G33="K",0,IF(AND(OR($H$10="FULL",$H$10="AUTO"),G33="D"),0,11))))))</f>
        <v>0</v>
      </c>
      <c r="CD43" s="128" t="str">
        <f>IF($H$10="NONE","ENTER CIRCUIT #11 LOAD IDENTIFIER  ( G, C, M, K )","ENTER CIRCUIT #11 LOAD IDENTIFIER  ( G, D, C, M, K )")</f>
        <v>ENTER CIRCUIT #11 LOAD IDENTIFIER  ( G, D, C, M, K )</v>
      </c>
      <c r="CE43" s="129">
        <f>IF(SUM(CE$38:CE42)=0,CF43,0)</f>
        <v>0</v>
      </c>
      <c r="CF43" s="129">
        <f>IF(H$5&lt;12,0,IF(ISBLANK(F33)=TRUE,11,IF(F33=" ",0,IF(F33="H",0,11))))</f>
        <v>0</v>
      </c>
      <c r="CG43" s="128" t="s">
        <v>104</v>
      </c>
      <c r="CH43" s="129">
        <f>IF(SUM(CH$38:CH42)=0,CI43,0)</f>
        <v>0</v>
      </c>
      <c r="CI43" s="132">
        <f>IF($H$5&lt;12,0,IF(ISBLANK($E33)=TRUE,11,IF($E33="N",0,IF($E33=" ",0,11))))</f>
        <v>0</v>
      </c>
      <c r="CJ43" s="128" t="s">
        <v>446</v>
      </c>
      <c r="CK43" s="128"/>
      <c r="CL43" s="128"/>
      <c r="CM43" s="128"/>
      <c r="CN43" s="128"/>
      <c r="CO43" s="128"/>
      <c r="CP43" s="128"/>
      <c r="CQ43" s="32"/>
      <c r="CX43" s="62">
        <f t="shared" si="9"/>
        <v>1000.00001</v>
      </c>
      <c r="CY43" s="24"/>
      <c r="DA43" s="62">
        <f t="shared" si="7"/>
        <v>1080</v>
      </c>
      <c r="DB43" s="62">
        <f>DB30*DE43</f>
        <v>1080</v>
      </c>
      <c r="DC43" s="62" t="s">
        <v>114</v>
      </c>
      <c r="DD43" s="62">
        <v>17</v>
      </c>
      <c r="DE43" s="62">
        <v>4</v>
      </c>
      <c r="DF43" s="62"/>
      <c r="DG43" s="62"/>
      <c r="DH43" s="62"/>
      <c r="DK43" s="1"/>
      <c r="DL43" s="1"/>
      <c r="DM43" s="1"/>
      <c r="DN43" s="1"/>
      <c r="DO43" s="1"/>
      <c r="DP43" s="1"/>
      <c r="DR43" s="45" t="s">
        <v>137</v>
      </c>
      <c r="EE43" s="1"/>
      <c r="ES43" s="1"/>
      <c r="ET43" s="1"/>
      <c r="EU43" s="1"/>
      <c r="EV43" s="1"/>
      <c r="EW43" s="1"/>
      <c r="EX43" s="1"/>
      <c r="EY43" s="1"/>
      <c r="EZ43" s="1"/>
    </row>
    <row r="44" spans="1:157" ht="12" customHeight="1">
      <c r="A44" s="92"/>
      <c r="B44" s="106">
        <v>33</v>
      </c>
      <c r="C44" s="674"/>
      <c r="D44" s="671"/>
      <c r="E44" s="668" t="s">
        <v>12</v>
      </c>
      <c r="F44" s="675" t="s">
        <v>12</v>
      </c>
      <c r="G44" s="670" t="s">
        <v>394</v>
      </c>
      <c r="H44" s="669"/>
      <c r="I44" s="108" t="str">
        <f t="shared" si="11"/>
        <v>L2</v>
      </c>
      <c r="J44" s="669"/>
      <c r="K44" s="670" t="s">
        <v>394</v>
      </c>
      <c r="L44" s="675" t="s">
        <v>12</v>
      </c>
      <c r="M44" s="668" t="s">
        <v>12</v>
      </c>
      <c r="N44" s="671"/>
      <c r="O44" s="672"/>
      <c r="P44" s="106">
        <v>34</v>
      </c>
      <c r="Q44" s="110"/>
      <c r="T44" s="126">
        <f>IF($H$5&gt;32,1,0)</f>
        <v>1</v>
      </c>
      <c r="U44" s="126" t="str">
        <f>IF($H$8=1,"L1","L2")</f>
        <v>L2</v>
      </c>
      <c r="W44" s="133" t="str">
        <f>IF(T44=0,0,IF($H$8=1,(H44+J44)," "))</f>
        <v xml:space="preserve"> </v>
      </c>
      <c r="X44" s="133">
        <f>IF(T44=0,0,IF($H$8=1," ",(H44+J44)))</f>
        <v>0</v>
      </c>
      <c r="Z44" s="133" t="str">
        <f>IF($H$8=1,IF(T44=0,0,IF(G44="G",H44,0))," ")</f>
        <v xml:space="preserve"> </v>
      </c>
      <c r="AA44" s="133" t="str">
        <f>IF($H$8=1,IF(T44=0,0,IF(K44="G",J44,0))," ")</f>
        <v xml:space="preserve"> </v>
      </c>
      <c r="AB44" s="133">
        <f>IF($H$8=1," ",IF(T44=0,0,IF(G44="G",H44,0)))</f>
        <v>0</v>
      </c>
      <c r="AC44" s="133">
        <f>IF($H$8=1," ",IF(T44=0,0,IF(K44="G",J44,0)))</f>
        <v>0</v>
      </c>
      <c r="AF44" s="126" t="str">
        <f>IF($H$8=1,IF(T44=0,0,IF(G44="D",H44,0))," ")</f>
        <v xml:space="preserve"> </v>
      </c>
      <c r="AG44" s="126" t="str">
        <f>IF($H$8=1,IF(T44=0,0,IF(K44="D",J44,0))," ")</f>
        <v xml:space="preserve"> </v>
      </c>
      <c r="AH44" s="126">
        <f>IF($H$8=1," ",IF(T44=0,0,IF(G44="D",H44,0)))</f>
        <v>0</v>
      </c>
      <c r="AI44" s="126">
        <f>IF($H$8=1," ",IF(T44=0,0,IF(K44="D",J44,0)))</f>
        <v>0</v>
      </c>
      <c r="AL44" s="126" t="str">
        <f>IF($H$8=1,IF(T44=0,0,IF(G44="C",H44,0))," ")</f>
        <v xml:space="preserve"> </v>
      </c>
      <c r="AM44" s="126" t="str">
        <f>IF($H$8=1,IF(T44=0,0,IF(K44="C",J44,0))," ")</f>
        <v xml:space="preserve"> </v>
      </c>
      <c r="AN44" s="126">
        <f>IF($H$8=1," ",IF(T44=0,0,IF(G44="C",H44,0)))</f>
        <v>0</v>
      </c>
      <c r="AO44" s="126">
        <f>IF($H$8=1," ",IF(T44=0,0,IF(K44="C",J44,0)))</f>
        <v>0</v>
      </c>
      <c r="AR44" s="133">
        <f t="shared" si="12"/>
        <v>0</v>
      </c>
      <c r="AS44" s="133">
        <f t="shared" si="10"/>
        <v>0</v>
      </c>
      <c r="AT44" s="133" t="str">
        <f>IF(T44=0,0,IF($H$8=1,IF(G44="M",H44,0)," "))</f>
        <v xml:space="preserve"> </v>
      </c>
      <c r="AU44" s="133" t="str">
        <f>IF(T44=0,0,IF($H$8=1,IF(K44="M",J44,0)," "))</f>
        <v xml:space="preserve"> </v>
      </c>
      <c r="AV44" s="133">
        <f>IF(T44=0,0,IF($H$8=1," ",IF(G44="M",H44,0)))</f>
        <v>0</v>
      </c>
      <c r="AW44" s="133">
        <f>IF(T44=0,0,IF($H$8=1," ",IF(K44="M",J44,0)))</f>
        <v>0</v>
      </c>
      <c r="BA44" s="133" t="str">
        <f>IF(T44=0,0,IF($H$8=1,IF(G44="K",H44,0)," "))</f>
        <v xml:space="preserve"> </v>
      </c>
      <c r="BB44" s="133" t="str">
        <f>IF(T44=0,0,IF($H$8=1,IF(K44="K",J44,0)," "))</f>
        <v xml:space="preserve"> </v>
      </c>
      <c r="BC44" s="133">
        <f>IF(T44=0,0,IF($H$8=1," ",IF(G44="K",H44,0)))</f>
        <v>0</v>
      </c>
      <c r="BD44" s="133">
        <f>IF(T44=0,0,IF($H$8=1," ",IF(K44="K",J44,0)))</f>
        <v>0</v>
      </c>
      <c r="BE44" s="133"/>
      <c r="BF44" s="133"/>
      <c r="BK44" s="133">
        <f>IF(T44=0,0,IF(E44="N",H44,0))</f>
        <v>0</v>
      </c>
      <c r="BL44" s="133">
        <f>IF(T44=0,0,IF(M44="N",J44,0))</f>
        <v>0</v>
      </c>
      <c r="BM44" s="133"/>
      <c r="BN44" s="133"/>
      <c r="BO44" s="133"/>
      <c r="BP44" s="133"/>
      <c r="BQ44" s="133">
        <f>IF(T44=0,0,IF(E44="N",H44,0))</f>
        <v>0</v>
      </c>
      <c r="BR44" s="133">
        <f>IF(T44=0,0,IF(M44="N",J44,0))</f>
        <v>0</v>
      </c>
      <c r="BS44" s="133"/>
      <c r="BT44" s="133"/>
      <c r="BU44" s="133"/>
      <c r="BV44" s="133"/>
      <c r="BW44" s="133"/>
      <c r="BY44" s="130"/>
      <c r="BZ44" s="130"/>
      <c r="CA44" s="128">
        <v>13</v>
      </c>
      <c r="CB44" s="129">
        <f>IF(SUM(CB$38:CB43)=0,CC44,0)</f>
        <v>0</v>
      </c>
      <c r="CC44" s="129">
        <f>IF(H$5&lt;14,0,IF(G34="G",0,IF(G34="C",0,IF(G34="M",0,IF(G34="K",0,IF(AND(OR($H$10="FULL",$H$10="AUTO"),G34="D"),0,13))))))</f>
        <v>0</v>
      </c>
      <c r="CD44" s="128" t="str">
        <f>IF($H$10="NONE","ENTER CIRCUIT #13 LOAD IDENTIFIER  ( G, C, M, K )","ENTER CIRCUIT #13 LOAD IDENTIFIER  ( G, D, C, M, K )")</f>
        <v>ENTER CIRCUIT #13 LOAD IDENTIFIER  ( G, D, C, M, K )</v>
      </c>
      <c r="CE44" s="129">
        <f>IF(SUM(CE$38:CE43)=0,CF44,0)</f>
        <v>0</v>
      </c>
      <c r="CF44" s="129">
        <f>IF(H$5&lt;14,0,IF(ISBLANK(F34)=TRUE,13,IF(F34=" ",0,IF(F34="H",0,13))))</f>
        <v>0</v>
      </c>
      <c r="CG44" s="128" t="s">
        <v>107</v>
      </c>
      <c r="CH44" s="129">
        <f>IF(SUM(CH$38:CH43)=0,CI44,0)</f>
        <v>0</v>
      </c>
      <c r="CI44" s="132">
        <f>IF($H$5&lt;14,0,IF(ISBLANK($E34)=TRUE,13,IF($E34="N",0,IF($E34=" ",0,13))))</f>
        <v>0</v>
      </c>
      <c r="CJ44" s="128" t="s">
        <v>447</v>
      </c>
      <c r="CK44" s="128"/>
      <c r="CL44" s="128"/>
      <c r="CM44" s="128"/>
      <c r="CN44" s="128"/>
      <c r="CO44" s="128"/>
      <c r="CP44" s="128"/>
      <c r="CQ44" s="32"/>
      <c r="CX44" s="57">
        <f t="shared" si="9"/>
        <v>1080.00001</v>
      </c>
      <c r="CY44" s="24"/>
      <c r="CZ44" s="22"/>
      <c r="DA44" s="57">
        <f t="shared" si="7"/>
        <v>1240</v>
      </c>
      <c r="DB44" s="57">
        <f>DB31*DE44</f>
        <v>1240</v>
      </c>
      <c r="DC44" s="57" t="s">
        <v>116</v>
      </c>
      <c r="DD44" s="57">
        <v>18</v>
      </c>
      <c r="DE44" s="57">
        <v>4</v>
      </c>
      <c r="DF44" s="57"/>
      <c r="DG44" s="57"/>
      <c r="DH44" s="57"/>
      <c r="DJ44" s="22"/>
      <c r="DR44" s="22"/>
      <c r="DS44" s="22" t="s">
        <v>55</v>
      </c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F44" s="22"/>
      <c r="EG44" s="22">
        <f>SUM(EG33:EG42)</f>
        <v>54</v>
      </c>
      <c r="EH44" s="22"/>
      <c r="EI44" s="22"/>
      <c r="EJ44" s="22"/>
      <c r="EK44" s="22"/>
      <c r="EL44" s="22"/>
      <c r="EM44" s="157" t="s">
        <v>530</v>
      </c>
      <c r="EN44" s="158"/>
      <c r="EO44" s="159"/>
      <c r="EP44" s="159"/>
      <c r="EQ44" s="159"/>
      <c r="ER44" s="159"/>
      <c r="ES44" s="159"/>
      <c r="ET44" s="159"/>
    </row>
    <row r="45" spans="1:157" ht="12" customHeight="1">
      <c r="A45" s="92"/>
      <c r="B45" s="106">
        <v>35</v>
      </c>
      <c r="C45" s="674"/>
      <c r="D45" s="671"/>
      <c r="E45" s="668" t="s">
        <v>12</v>
      </c>
      <c r="F45" s="675" t="s">
        <v>12</v>
      </c>
      <c r="G45" s="670" t="s">
        <v>394</v>
      </c>
      <c r="H45" s="669"/>
      <c r="I45" s="108" t="str">
        <f t="shared" si="11"/>
        <v>L3</v>
      </c>
      <c r="J45" s="669"/>
      <c r="K45" s="670" t="s">
        <v>394</v>
      </c>
      <c r="L45" s="675" t="s">
        <v>12</v>
      </c>
      <c r="M45" s="668" t="s">
        <v>12</v>
      </c>
      <c r="N45" s="671"/>
      <c r="O45" s="672"/>
      <c r="P45" s="106">
        <v>36</v>
      </c>
      <c r="Q45" s="110"/>
      <c r="T45" s="126">
        <f>IF($H$5&gt;34,1,0)</f>
        <v>1</v>
      </c>
      <c r="U45" s="126" t="str">
        <f>IF($H$8=1,"L2","L3")</f>
        <v>L3</v>
      </c>
      <c r="X45" s="133" t="str">
        <f>IF(T45=0,0,IF($H$8=1,(H45+J45)," "))</f>
        <v xml:space="preserve"> </v>
      </c>
      <c r="Y45" s="133">
        <f>IF(T45=0,0,IF($H$8=1," ",(H45+J45)))</f>
        <v>0</v>
      </c>
      <c r="AB45" s="133" t="str">
        <f>IF($H$8=1,IF(T45=0,0,IF(G45="G",H45,0))," ")</f>
        <v xml:space="preserve"> </v>
      </c>
      <c r="AC45" s="133" t="str">
        <f>IF($H$8=1,IF(T45=0,0,IF(K45="G",J45,0))," ")</f>
        <v xml:space="preserve"> </v>
      </c>
      <c r="AD45" s="133">
        <f>IF($H$8=1," ",IF(T45=0,0,IF(G45="G",H45,0)))</f>
        <v>0</v>
      </c>
      <c r="AE45" s="133">
        <f>IF($H$8=1," ",IF(T45=0,0,IF(K45="G",J45,0)))</f>
        <v>0</v>
      </c>
      <c r="AH45" s="126" t="str">
        <f>IF($H$8=1,IF(T45=0,0,IF(G45="D",H45,0))," ")</f>
        <v xml:space="preserve"> </v>
      </c>
      <c r="AI45" s="126" t="str">
        <f>IF($H$8=1,IF(T45=0,0,IF(K45="D",J45,0))," ")</f>
        <v xml:space="preserve"> </v>
      </c>
      <c r="AJ45" s="126">
        <f>IF($H$8=1," ",IF(T45=0,0,IF(G45="D",H45,0)))</f>
        <v>0</v>
      </c>
      <c r="AK45" s="126">
        <f>IF($H$8=1," ",IF(T45=0,0,IF(K45="D",J45,0)))</f>
        <v>0</v>
      </c>
      <c r="AN45" s="126" t="str">
        <f>IF($H$8=1,IF(T45=0,0,IF(G45="C",H45,0))," ")</f>
        <v xml:space="preserve"> </v>
      </c>
      <c r="AO45" s="126" t="str">
        <f>IF($H$8=1,IF(T45=0,0,IF(K45="C",J45,0))," ")</f>
        <v xml:space="preserve"> </v>
      </c>
      <c r="AP45" s="126">
        <f>IF($H$8=1," ",IF(T45=0,0,IF(G45="C",H45,0)))</f>
        <v>0</v>
      </c>
      <c r="AQ45" s="126">
        <f>IF($H$8=1," ",IF(T45=0,0,IF(K45="C",J45,0)))</f>
        <v>0</v>
      </c>
      <c r="AR45" s="133">
        <f t="shared" si="12"/>
        <v>0</v>
      </c>
      <c r="AS45" s="133">
        <f t="shared" si="10"/>
        <v>0</v>
      </c>
      <c r="AV45" s="133" t="str">
        <f>IF(T45=0,0,IF($H$8=1,IF(G45="M",H45,0)," "))</f>
        <v xml:space="preserve"> </v>
      </c>
      <c r="AW45" s="133" t="str">
        <f>IF(T45=0,0,IF($H$8=1,IF(K45="M",J45,0)," "))</f>
        <v xml:space="preserve"> </v>
      </c>
      <c r="AX45" s="133">
        <f>IF(T45=0,0,IF($H$8=1," ",IF(G45="M",H45,0)))</f>
        <v>0</v>
      </c>
      <c r="AY45" s="133">
        <f>IF(T45=0,0,IF($H$8=1," ",IF(K45="M",J45,0)))</f>
        <v>0</v>
      </c>
      <c r="BA45" s="133"/>
      <c r="BB45" s="133"/>
      <c r="BC45" s="133" t="str">
        <f>IF(T45=0,0,IF($H$8=1,IF(G45="K",H45,0)," "))</f>
        <v xml:space="preserve"> </v>
      </c>
      <c r="BD45" s="133" t="str">
        <f>IF(T45=0,0,IF($H$8=1,IF(K45="K",J45,0)," "))</f>
        <v xml:space="preserve"> </v>
      </c>
      <c r="BE45" s="133">
        <f>IF(T45=0,0,IF($H$8=1," ",IF(G45="K",H45,0)))</f>
        <v>0</v>
      </c>
      <c r="BF45" s="133">
        <f>IF(T45=0,0,IF($H$8=1," ",IF(K45="K",J45,0)))</f>
        <v>0</v>
      </c>
      <c r="BG45" s="126"/>
      <c r="BI45" s="133">
        <f>IF(T45=0,0,IF(E45="N",H45,0))</f>
        <v>0</v>
      </c>
      <c r="BJ45" s="133">
        <f>IF(T45=0,0,IF(M45="N",J45,0))</f>
        <v>0</v>
      </c>
      <c r="BK45" s="133"/>
      <c r="BL45" s="133"/>
      <c r="BM45" s="133">
        <f>IF(T45=0,0,IF(E45="N",H45,0))</f>
        <v>0</v>
      </c>
      <c r="BN45" s="133">
        <f>IF(T45=0,0,IF(M45="N",J45,0))</f>
        <v>0</v>
      </c>
      <c r="BO45" s="133"/>
      <c r="BP45" s="133"/>
      <c r="BQ45" s="133"/>
      <c r="BR45" s="133"/>
      <c r="BS45" s="133">
        <f>IF(T45=0,0,IF(E45="N",H45,0))</f>
        <v>0</v>
      </c>
      <c r="BT45" s="133">
        <f>IF(T45=0,0,IF(M45="N",J45,0))</f>
        <v>0</v>
      </c>
      <c r="BU45" s="133"/>
      <c r="BV45" s="133"/>
      <c r="BW45" s="133"/>
      <c r="BY45" s="130"/>
      <c r="BZ45" s="130"/>
      <c r="CA45" s="128">
        <v>15</v>
      </c>
      <c r="CB45" s="129">
        <f>IF(SUM(CB$38:CB44)=0,CC45,0)</f>
        <v>0</v>
      </c>
      <c r="CC45" s="129">
        <f>IF(H$5&lt;16,0,IF(G35="G",0,IF(G35="C",0,IF(G35="M",0,IF(G35="K",0,IF(AND(OR($H$10="FULL",$H$10="AUTO"),OR($H$8=1,$H$8="3Y"),G35="D"),0,15))))))</f>
        <v>0</v>
      </c>
      <c r="CD45" s="128" t="str">
        <f>IF($H$10="NONE","ENTER CIRCUIT #15 LOAD IDENTIFIER  ( G, C, M, K )",IF($H$8="3D","ENTER CIRCUIT #15 LOAD IDENTIFIER  ( G, C, M, K )","ENTER CIRCUIT #15 LOAD IDENTIFIER  ( G, D, C, M, K )"))</f>
        <v>ENTER CIRCUIT #15 LOAD IDENTIFIER  ( G, D, C, M, K )</v>
      </c>
      <c r="CE45" s="129">
        <f>IF(SUM(CE$38:CE44)=0,CF45,0)</f>
        <v>0</v>
      </c>
      <c r="CF45" s="129">
        <f>IF(H$5&lt;16,0,IF(ISBLANK(F35)=TRUE,15,IF(F35=" ",0,IF(F35="H",0,15))))</f>
        <v>0</v>
      </c>
      <c r="CG45" s="128" t="s">
        <v>111</v>
      </c>
      <c r="CH45" s="129">
        <f>IF(SUM(CH$38:CH44)=0,CI45,0)</f>
        <v>0</v>
      </c>
      <c r="CI45" s="132">
        <f>IF($H$5&lt;16,0,IF(ISBLANK($E35)=TRUE,15,IF($E35=" ",0,IF(AND($H$8&lt;&gt;"3D",$E35="N"),0,15))))</f>
        <v>0</v>
      </c>
      <c r="CJ45" s="128" t="str">
        <f>IF($H$8&lt;&gt;"3D","ENTER CIRCUIT #15 NEUTRAL IDENTIFIER  ( N or SPACE )","ENTER CIRCUIT #15 NEUTRAL IDENTIFIER  ( SPACE )")</f>
        <v>ENTER CIRCUIT #15 NEUTRAL IDENTIFIER  ( N or SPACE )</v>
      </c>
      <c r="CK45" s="128"/>
      <c r="CL45" s="128"/>
      <c r="CM45" s="128"/>
      <c r="CN45" s="128"/>
      <c r="CO45" s="128"/>
      <c r="CP45" s="128"/>
      <c r="CQ45" s="32"/>
      <c r="CX45" s="62">
        <f t="shared" si="9"/>
        <v>1240.00001</v>
      </c>
      <c r="CY45" s="24"/>
      <c r="CZ45" s="22"/>
      <c r="DA45" s="62">
        <f t="shared" si="7"/>
        <v>1250</v>
      </c>
      <c r="DB45" s="62">
        <f>DB29*DE45</f>
        <v>1250</v>
      </c>
      <c r="DC45" s="62" t="s">
        <v>112</v>
      </c>
      <c r="DD45" s="62">
        <v>16</v>
      </c>
      <c r="DE45" s="62">
        <v>5</v>
      </c>
      <c r="DF45" s="62"/>
      <c r="DG45" s="62"/>
      <c r="DH45" s="62"/>
      <c r="DJ45" s="22"/>
      <c r="DR45" s="46" t="s">
        <v>139</v>
      </c>
      <c r="DS45" s="77">
        <f>CZ54</f>
        <v>6</v>
      </c>
      <c r="DT45" s="47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F45" s="22"/>
      <c r="EG45" s="22">
        <f>VLOOKUP(EG44,EF33:EO42,10)</f>
        <v>4</v>
      </c>
      <c r="EH45" s="22"/>
      <c r="EI45" s="22"/>
      <c r="EJ45" s="22"/>
      <c r="EK45" s="22"/>
      <c r="EL45" s="22"/>
      <c r="EM45" s="158"/>
      <c r="EN45" s="158"/>
      <c r="EO45" s="158"/>
      <c r="EP45" s="159"/>
      <c r="EQ45" s="159"/>
      <c r="ER45" s="159"/>
      <c r="ES45" s="159"/>
      <c r="ET45" s="159"/>
    </row>
    <row r="46" spans="1:157" ht="12" customHeight="1">
      <c r="A46" s="111"/>
      <c r="B46" s="106">
        <v>37</v>
      </c>
      <c r="C46" s="674"/>
      <c r="D46" s="671"/>
      <c r="E46" s="668" t="s">
        <v>12</v>
      </c>
      <c r="F46" s="675" t="s">
        <v>12</v>
      </c>
      <c r="G46" s="670" t="s">
        <v>394</v>
      </c>
      <c r="H46" s="669"/>
      <c r="I46" s="108" t="str">
        <f t="shared" si="11"/>
        <v>L1</v>
      </c>
      <c r="J46" s="669"/>
      <c r="K46" s="670" t="s">
        <v>394</v>
      </c>
      <c r="L46" s="675" t="s">
        <v>12</v>
      </c>
      <c r="M46" s="668" t="s">
        <v>12</v>
      </c>
      <c r="N46" s="671"/>
      <c r="O46" s="672"/>
      <c r="P46" s="106">
        <v>38</v>
      </c>
      <c r="Q46" s="110"/>
      <c r="T46" s="126">
        <f>IF($H$5&gt;36,1,0)</f>
        <v>1</v>
      </c>
      <c r="U46" s="126" t="str">
        <f>IF($H$8=1,"L1","L1")</f>
        <v>L1</v>
      </c>
      <c r="W46" s="133">
        <f>IF(T46=0,0,(H46+J46))</f>
        <v>0</v>
      </c>
      <c r="Z46" s="133">
        <f>IF(T46=0,0,IF(G46="G",H46,0))</f>
        <v>0</v>
      </c>
      <c r="AA46" s="133">
        <f>IF(T46=0,0,IF(K46="G",J46,0))</f>
        <v>0</v>
      </c>
      <c r="AF46" s="126">
        <f>IF(T46=0,0,IF(G46="D",H46,0))</f>
        <v>0</v>
      </c>
      <c r="AG46" s="126">
        <f>IF(T46=0,0,IF(K46="D",J46,0))</f>
        <v>0</v>
      </c>
      <c r="AL46" s="126">
        <f>IF(T46=0,0,IF(G46="C",H46,0))</f>
        <v>0</v>
      </c>
      <c r="AM46" s="126">
        <f>IF(T46=0,0,IF(K46="C",J46,0))</f>
        <v>0</v>
      </c>
      <c r="AR46" s="133">
        <f t="shared" si="12"/>
        <v>0</v>
      </c>
      <c r="AS46" s="133">
        <f t="shared" si="10"/>
        <v>0</v>
      </c>
      <c r="AT46" s="133">
        <f>IF(T46=0,0,IF(G46="M",H46,0))</f>
        <v>0</v>
      </c>
      <c r="AU46" s="133">
        <f>IF(T46=0,0,IF(K46="M",J46,0))</f>
        <v>0</v>
      </c>
      <c r="BA46" s="133">
        <f>IF(T46=0,0,IF(G46="K",H46,0))</f>
        <v>0</v>
      </c>
      <c r="BB46" s="133">
        <f>IF(T46=0,0,IF(K46="K",J46,0))</f>
        <v>0</v>
      </c>
      <c r="BC46" s="133"/>
      <c r="BD46" s="133"/>
      <c r="BE46" s="133"/>
      <c r="BF46" s="133"/>
      <c r="BG46" s="126">
        <f>IF(T46=0,0,IF(E46="N",H46,0))</f>
        <v>0</v>
      </c>
      <c r="BH46" s="133">
        <f>IF(T46=0,0,IF(M46="N",J46,0))</f>
        <v>0</v>
      </c>
      <c r="BK46" s="133">
        <f>IF(T46=0,0,IF(E46="N",H46,0))</f>
        <v>0</v>
      </c>
      <c r="BL46" s="133">
        <f>IF(T46=0,0,IF(M46="N",J46,0))</f>
        <v>0</v>
      </c>
      <c r="BM46" s="133"/>
      <c r="BN46" s="133"/>
      <c r="BO46" s="133">
        <f>IF(T46=0,0,IF(E46="N",H46,0))</f>
        <v>0</v>
      </c>
      <c r="BP46" s="133">
        <f>IF(T46=0,0,IF(M46="N",J46,0))</f>
        <v>0</v>
      </c>
      <c r="BQ46" s="133"/>
      <c r="BR46" s="133"/>
      <c r="BS46" s="133"/>
      <c r="BT46" s="133"/>
      <c r="BU46" s="133"/>
      <c r="BV46" s="133"/>
      <c r="BW46" s="133"/>
      <c r="BY46" s="130"/>
      <c r="BZ46" s="130"/>
      <c r="CA46" s="128">
        <v>17</v>
      </c>
      <c r="CB46" s="129">
        <f>IF(SUM(CB$38:CB45)=0,CC46,0)</f>
        <v>0</v>
      </c>
      <c r="CC46" s="129">
        <f>IF(H$5&lt;18,0,IF(G36="G",0,IF(G36="C",0,IF(G36="M",0,IF(G36="K",0,IF(AND(OR($H$10="FULL",$H$10="AUTO"),G36="D"),0,17))))))</f>
        <v>0</v>
      </c>
      <c r="CD46" s="128" t="str">
        <f>IF($H$10="NONE","ENTER CIRCUIT #17 LOAD IDENTIFIER  ( G, C, M, K )","ENTER CIRCUIT #17 LOAD IDENTIFIER  ( G, D, C, M, K )")</f>
        <v>ENTER CIRCUIT #17 LOAD IDENTIFIER  ( G, D, C, M, K )</v>
      </c>
      <c r="CE46" s="129">
        <f>IF(SUM(CE$38:CE45)=0,CF46,0)</f>
        <v>0</v>
      </c>
      <c r="CF46" s="129">
        <f>IF(H$5&lt;18,0,IF(ISBLANK(F36)=TRUE,17,IF(F36=" ",0,IF(F36="H",0,17))))</f>
        <v>0</v>
      </c>
      <c r="CG46" s="128" t="s">
        <v>113</v>
      </c>
      <c r="CH46" s="129">
        <f>IF(SUM(CH$38:CH45)=0,CI46,0)</f>
        <v>0</v>
      </c>
      <c r="CI46" s="132">
        <f>IF($H$5&lt;18,0,IF(ISBLANK($E36)=TRUE,17,IF($E36="N",0,IF($E36=" ",0,17))))</f>
        <v>0</v>
      </c>
      <c r="CJ46" s="128" t="s">
        <v>448</v>
      </c>
      <c r="CK46" s="128"/>
      <c r="CL46" s="128"/>
      <c r="CM46" s="128"/>
      <c r="CN46" s="128"/>
      <c r="CO46" s="128"/>
      <c r="CP46" s="128"/>
      <c r="CQ46" s="28"/>
      <c r="CX46" s="62">
        <f t="shared" si="9"/>
        <v>1250.00001</v>
      </c>
      <c r="CY46" s="24"/>
      <c r="CZ46" s="22"/>
      <c r="DA46" s="62">
        <f t="shared" si="7"/>
        <v>1350</v>
      </c>
      <c r="DB46" s="62">
        <f>DB30*DE46</f>
        <v>1350</v>
      </c>
      <c r="DC46" s="62" t="s">
        <v>114</v>
      </c>
      <c r="DD46" s="62">
        <v>17</v>
      </c>
      <c r="DE46" s="62">
        <v>5</v>
      </c>
      <c r="DF46" s="62"/>
      <c r="DG46" s="62"/>
      <c r="DH46" s="62"/>
      <c r="DJ46" s="22"/>
      <c r="DR46" s="78" t="s">
        <v>141</v>
      </c>
      <c r="DS46" s="28" t="str">
        <f>H13</f>
        <v>THHN</v>
      </c>
      <c r="DT46" s="50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F46" s="22"/>
      <c r="EG46" s="22"/>
      <c r="EH46" s="22"/>
      <c r="EI46" s="22"/>
      <c r="EJ46" s="22"/>
      <c r="EK46" s="22"/>
      <c r="EL46" s="22"/>
      <c r="EM46" s="160">
        <v>1</v>
      </c>
      <c r="EN46" s="161">
        <v>1</v>
      </c>
      <c r="EO46" s="162" t="s">
        <v>134</v>
      </c>
      <c r="EP46" s="163">
        <f t="shared" ref="EP46:EP51" si="18">$EI$79</f>
        <v>0.50800000000000001</v>
      </c>
      <c r="EQ46" s="161" t="s">
        <v>135</v>
      </c>
      <c r="ER46" s="161">
        <f>IF(EG$59&gt;1,EN46/EP46,0)</f>
        <v>0</v>
      </c>
      <c r="ES46" s="161"/>
      <c r="ET46" s="164"/>
    </row>
    <row r="47" spans="1:157" ht="12" customHeight="1">
      <c r="A47" s="111"/>
      <c r="B47" s="106">
        <v>39</v>
      </c>
      <c r="C47" s="674"/>
      <c r="D47" s="671"/>
      <c r="E47" s="668" t="s">
        <v>12</v>
      </c>
      <c r="F47" s="675" t="s">
        <v>12</v>
      </c>
      <c r="G47" s="670" t="s">
        <v>394</v>
      </c>
      <c r="H47" s="669"/>
      <c r="I47" s="108" t="str">
        <f t="shared" si="11"/>
        <v>L2</v>
      </c>
      <c r="J47" s="669"/>
      <c r="K47" s="670" t="s">
        <v>394</v>
      </c>
      <c r="L47" s="675" t="s">
        <v>12</v>
      </c>
      <c r="M47" s="668" t="s">
        <v>12</v>
      </c>
      <c r="N47" s="671"/>
      <c r="O47" s="672"/>
      <c r="P47" s="106">
        <v>40</v>
      </c>
      <c r="Q47" s="110"/>
      <c r="T47" s="126">
        <f>IF($H$5&gt;38,1,0)</f>
        <v>1</v>
      </c>
      <c r="U47" s="126" t="str">
        <f>IF($H$8=1,"L2","L2")</f>
        <v>L2</v>
      </c>
      <c r="X47" s="133">
        <f>IF(T47=0,0,(H47+J47))</f>
        <v>0</v>
      </c>
      <c r="AB47" s="133">
        <f>IF(T47=0,0,IF(G47="G",H47,0))</f>
        <v>0</v>
      </c>
      <c r="AC47" s="133">
        <f>IF(T47=0,0,IF(K47="G",J47,0))</f>
        <v>0</v>
      </c>
      <c r="AH47" s="126">
        <f>IF(T47=0,0,IF(G47="D",H47,0))</f>
        <v>0</v>
      </c>
      <c r="AI47" s="126">
        <f>IF(T47=0,0,IF(K47="D",J47,0))</f>
        <v>0</v>
      </c>
      <c r="AN47" s="126">
        <f>IF(T47=0,0,IF(G47="C",H47,0))</f>
        <v>0</v>
      </c>
      <c r="AO47" s="126">
        <f>IF(T47=0,0,IF(K47="C",J47,0))</f>
        <v>0</v>
      </c>
      <c r="AR47" s="133">
        <f t="shared" si="12"/>
        <v>0</v>
      </c>
      <c r="AS47" s="133">
        <f t="shared" si="10"/>
        <v>0</v>
      </c>
      <c r="AV47" s="133">
        <f>IF(T47=0,0,IF(G47="M",H47,0))</f>
        <v>0</v>
      </c>
      <c r="AW47" s="133">
        <f>IF(T47=0,0,IF(K47="M",J47,0))</f>
        <v>0</v>
      </c>
      <c r="BA47" s="133"/>
      <c r="BB47" s="133"/>
      <c r="BC47" s="133">
        <f>IF(T47=0,0,IF(G47="K",H47,0))</f>
        <v>0</v>
      </c>
      <c r="BD47" s="133">
        <f>IF(T47=0,0,IF(K47="K",J47,0))</f>
        <v>0</v>
      </c>
      <c r="BE47" s="133"/>
      <c r="BF47" s="133"/>
      <c r="BK47" s="133"/>
      <c r="BL47" s="133"/>
      <c r="BM47" s="133">
        <f>IF(T47=0,0,IF(E47="N",H47,0))</f>
        <v>0</v>
      </c>
      <c r="BN47" s="133">
        <f>IF(T47=0,0,IF(M47="N",J47,0))</f>
        <v>0</v>
      </c>
      <c r="BO47" s="133"/>
      <c r="BP47" s="133"/>
      <c r="BQ47" s="133">
        <f>IF(T47=0,0,IF(E47="N",H47,0))</f>
        <v>0</v>
      </c>
      <c r="BR47" s="133">
        <f>IF(T47=0,0,IF(M47="N",J47,0))</f>
        <v>0</v>
      </c>
      <c r="BS47" s="133"/>
      <c r="BT47" s="133"/>
      <c r="BU47" s="133"/>
      <c r="BV47" s="133"/>
      <c r="BW47" s="133"/>
      <c r="BY47" s="130"/>
      <c r="BZ47" s="130"/>
      <c r="CA47" s="128">
        <v>19</v>
      </c>
      <c r="CB47" s="129">
        <f>IF(SUM(CB$38:CB46)=0,CC47,0)</f>
        <v>0</v>
      </c>
      <c r="CC47" s="129">
        <f>IF(H$5&lt;20,0,IF(G37="G",0,IF(G37="C",0,IF(G37="M",0,IF(G37="K",0,IF(AND(OR($H$10="FULL",$H$10="AUTO"),G37="D"),0,19))))))</f>
        <v>0</v>
      </c>
      <c r="CD47" s="128" t="str">
        <f>IF($H$10="NONE","ENTER CIRCUIT #19 LOAD IDENTIFIER  ( G, C, M, K )","ENTER CIRCUIT #19 LOAD IDENTIFIER  ( G, D, C, M, K )")</f>
        <v>ENTER CIRCUIT #19 LOAD IDENTIFIER  ( G, D, C, M, K )</v>
      </c>
      <c r="CE47" s="129">
        <f>IF(SUM(CE$38:CE46)=0,CF47,0)</f>
        <v>0</v>
      </c>
      <c r="CF47" s="129">
        <f>IF(H$5&lt;20,0,IF(ISBLANK(F37)=TRUE,19,IF(F37=" ",0,IF(F37="H",0,19))))</f>
        <v>0</v>
      </c>
      <c r="CG47" s="128" t="s">
        <v>115</v>
      </c>
      <c r="CH47" s="129">
        <f>IF(SUM(CH$38:CH46)=0,CI47,0)</f>
        <v>0</v>
      </c>
      <c r="CI47" s="132">
        <f>IF($H$5&lt;20,0,IF(ISBLANK($E37)=TRUE,19,IF($E37="N",0,IF($E37=" ",0,19))))</f>
        <v>0</v>
      </c>
      <c r="CJ47" s="128" t="s">
        <v>449</v>
      </c>
      <c r="CK47" s="128"/>
      <c r="CL47" s="128"/>
      <c r="CM47" s="128"/>
      <c r="CN47" s="128"/>
      <c r="CO47" s="128"/>
      <c r="CP47" s="128"/>
      <c r="CQ47" s="28"/>
      <c r="CX47" s="57">
        <f t="shared" si="9"/>
        <v>1350.00001</v>
      </c>
      <c r="CY47" s="24"/>
      <c r="CZ47" s="22"/>
      <c r="DA47" s="57">
        <f t="shared" si="7"/>
        <v>1550</v>
      </c>
      <c r="DB47" s="57">
        <f>DB31*DE47</f>
        <v>1550</v>
      </c>
      <c r="DC47" s="57" t="s">
        <v>116</v>
      </c>
      <c r="DD47" s="57">
        <v>18</v>
      </c>
      <c r="DE47" s="57">
        <v>5</v>
      </c>
      <c r="DF47" s="57"/>
      <c r="DG47" s="57"/>
      <c r="DH47" s="57"/>
      <c r="DJ47" s="22"/>
      <c r="DR47" s="78" t="s">
        <v>144</v>
      </c>
      <c r="DS47" s="28" t="str">
        <f>CY6</f>
        <v>AL</v>
      </c>
      <c r="DT47" s="50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F47" s="22"/>
      <c r="EG47" s="22"/>
      <c r="EH47" s="22"/>
      <c r="EI47" s="22"/>
      <c r="EJ47" s="22"/>
      <c r="EK47" s="22"/>
      <c r="EL47" s="22"/>
      <c r="EM47" s="165">
        <v>2</v>
      </c>
      <c r="EN47" s="166">
        <v>1</v>
      </c>
      <c r="EO47" s="167" t="s">
        <v>134</v>
      </c>
      <c r="EP47" s="168">
        <f t="shared" si="18"/>
        <v>0.50800000000000001</v>
      </c>
      <c r="EQ47" s="166" t="s">
        <v>135</v>
      </c>
      <c r="ER47" s="166">
        <f>IF(EG$59&gt;1,EN47/EP47,0)</f>
        <v>0</v>
      </c>
      <c r="ES47" s="166"/>
      <c r="ET47" s="169"/>
    </row>
    <row r="48" spans="1:157" ht="12" customHeight="1">
      <c r="A48" s="92"/>
      <c r="B48" s="106">
        <v>41</v>
      </c>
      <c r="C48" s="674"/>
      <c r="D48" s="671"/>
      <c r="E48" s="668" t="s">
        <v>12</v>
      </c>
      <c r="F48" s="675" t="s">
        <v>12</v>
      </c>
      <c r="G48" s="670" t="s">
        <v>394</v>
      </c>
      <c r="H48" s="669"/>
      <c r="I48" s="108" t="str">
        <f t="shared" si="11"/>
        <v>L3</v>
      </c>
      <c r="J48" s="669"/>
      <c r="K48" s="670" t="s">
        <v>394</v>
      </c>
      <c r="L48" s="675" t="s">
        <v>12</v>
      </c>
      <c r="M48" s="668" t="s">
        <v>12</v>
      </c>
      <c r="N48" s="671"/>
      <c r="O48" s="672"/>
      <c r="P48" s="106">
        <v>42</v>
      </c>
      <c r="Q48" s="110"/>
      <c r="T48" s="126">
        <f>IF($H$5&gt;40,1,0)</f>
        <v>1</v>
      </c>
      <c r="U48" s="126" t="str">
        <f>IF($H$8=1,"L1","L3")</f>
        <v>L3</v>
      </c>
      <c r="W48" s="133" t="str">
        <f>IF(T48=0,0,IF($H$8=1,(H48+J48)," "))</f>
        <v xml:space="preserve"> </v>
      </c>
      <c r="Y48" s="133">
        <f>IF(T48=0,0,IF($H$8=1," ",(H48+J48)))</f>
        <v>0</v>
      </c>
      <c r="Z48" s="133" t="str">
        <f>IF($H$8=1,IF(T48=0,0,IF(G48="G",H48,0))," ")</f>
        <v xml:space="preserve"> </v>
      </c>
      <c r="AA48" s="133" t="str">
        <f>IF($H$8=1,IF(T48=0,0,IF(K48="G",J48,0))," ")</f>
        <v xml:space="preserve"> </v>
      </c>
      <c r="AD48" s="133">
        <f>IF($H$8=1," ",IF(T48=0,0,IF(G48="G",H48,0)))</f>
        <v>0</v>
      </c>
      <c r="AE48" s="133">
        <f>IF($H$8=1," ",IF(T48=0,0,IF(K48="G",J48,0)))</f>
        <v>0</v>
      </c>
      <c r="AF48" s="126" t="str">
        <f>IF($H$8=1,IF(T48=0,0,IF(G48="D",H48,0))," ")</f>
        <v xml:space="preserve"> </v>
      </c>
      <c r="AG48" s="126" t="str">
        <f>IF($H$8=1,IF(T48=0,0,IF(K48="D",J48,0))," ")</f>
        <v xml:space="preserve"> </v>
      </c>
      <c r="AJ48" s="126">
        <f>IF($H$8=1," ",IF(T48=0,0,IF(G48="D",H48,0)))</f>
        <v>0</v>
      </c>
      <c r="AK48" s="126">
        <f>IF($H$8=1," ",IF(T48=0,0,IF(K48="D",J48,0)))</f>
        <v>0</v>
      </c>
      <c r="AL48" s="126" t="str">
        <f>IF($H$8=1,IF(T48=0,0,IF(G48="C",H48,0))," ")</f>
        <v xml:space="preserve"> </v>
      </c>
      <c r="AM48" s="126" t="str">
        <f>IF($H$8=1,IF(T48=0,0,IF(K48="C",J48,0))," ")</f>
        <v xml:space="preserve"> </v>
      </c>
      <c r="AP48" s="126">
        <f>IF($H$8=1," ",IF(T48=0,0,IF(G48="C",H48,0)))</f>
        <v>0</v>
      </c>
      <c r="AQ48" s="126">
        <f>IF($H$8=1," ",IF(T48=0,0,IF(K48="C",J48,0)))</f>
        <v>0</v>
      </c>
      <c r="AR48" s="133">
        <f t="shared" si="12"/>
        <v>0</v>
      </c>
      <c r="AS48" s="133">
        <f t="shared" si="10"/>
        <v>0</v>
      </c>
      <c r="AT48" s="133" t="str">
        <f>IF(T48=0,0,IF($H$8=1,IF(G48="M",H48,0)," "))</f>
        <v xml:space="preserve"> </v>
      </c>
      <c r="AU48" s="133" t="str">
        <f>IF(T48=0,0,IF($H$8=1,IF(K48="M",J48,0)," "))</f>
        <v xml:space="preserve"> </v>
      </c>
      <c r="AX48" s="133">
        <f>IF(T48=0,0,IF($H$8=1," ",IF(G48="M",H48,0)))</f>
        <v>0</v>
      </c>
      <c r="AY48" s="133">
        <f>IF(T48=0,0,IF($H$8=1," ",IF(K48="M",J48,0)))</f>
        <v>0</v>
      </c>
      <c r="BA48" s="133" t="str">
        <f>IF(T48=0,0,IF($H$8=1,IF(G48="K",H48,0)," "))</f>
        <v xml:space="preserve"> </v>
      </c>
      <c r="BB48" s="133" t="str">
        <f>IF(T48=0,0,IF($H$8=1,IF(K48="K",J48,0)," "))</f>
        <v xml:space="preserve"> </v>
      </c>
      <c r="BC48" s="133"/>
      <c r="BD48" s="133"/>
      <c r="BE48" s="133">
        <f>IF(T48=0,0,IF($H$8=1," ",IF(G48="K",H48,0)))</f>
        <v>0</v>
      </c>
      <c r="BF48" s="133">
        <f>IF(T48=0,0,IF($H$8=1," ",IF(K48="K",J48,0)))</f>
        <v>0</v>
      </c>
      <c r="BG48" s="126"/>
      <c r="BI48" s="133">
        <f>IF(T48=0,0,IF(E48="N",H48,0))</f>
        <v>0</v>
      </c>
      <c r="BJ48" s="133">
        <f>IF(T48=0,0,IF(M48="N",J48,0))</f>
        <v>0</v>
      </c>
      <c r="BK48" s="133">
        <f>IF(T48=0,0,IF(E48="N",H48,0))</f>
        <v>0</v>
      </c>
      <c r="BL48" s="133">
        <f>IF(T48=0,0,IF(M48="N",J48,0))</f>
        <v>0</v>
      </c>
      <c r="BM48" s="133"/>
      <c r="BN48" s="133"/>
      <c r="BO48" s="133"/>
      <c r="BP48" s="133"/>
      <c r="BQ48" s="133"/>
      <c r="BR48" s="133"/>
      <c r="BS48" s="133">
        <f>IF(T48=0,0,IF(E48="N",H48,0))</f>
        <v>0</v>
      </c>
      <c r="BT48" s="133">
        <f>IF(T48=0,0,IF(M48="N",J48,0))</f>
        <v>0</v>
      </c>
      <c r="BU48" s="133"/>
      <c r="BV48" s="133"/>
      <c r="BW48" s="133"/>
      <c r="BY48" s="130"/>
      <c r="BZ48" s="130"/>
      <c r="CA48" s="128">
        <v>21</v>
      </c>
      <c r="CB48" s="129">
        <f>IF(SUM(CB$38:CB47)=0,CC48,0)</f>
        <v>0</v>
      </c>
      <c r="CC48" s="129">
        <f>IF(H$5&lt;22,0,IF(G38="G",0,IF(G38="C",0,IF(G38="M",0,IF(G38="K",0,IF(AND(OR($H$10="FULL",$H$10="AUTO"),OR($H$8=1,$H$8="3Y"),G38="D"),0,21))))))</f>
        <v>0</v>
      </c>
      <c r="CD48" s="128" t="str">
        <f>IF($H$10="NONE","ENTER CIRCUIT #21 LOAD IDENTIFIER  ( G, C, M, K )",IF($H$8="3D","ENTER CIRCUIT #21 LOAD IDENTIFIER  ( G, C, M, K )","ENTER CIRCUIT #21 LOAD IDENTIFIER  ( G, D, C, M, K )"))</f>
        <v>ENTER CIRCUIT #21 LOAD IDENTIFIER  ( G, D, C, M, K )</v>
      </c>
      <c r="CE48" s="129">
        <f>IF(SUM(CE$38:CE47)=0,CF48,0)</f>
        <v>0</v>
      </c>
      <c r="CF48" s="129">
        <f>IF(H$5&lt;22,0,IF(ISBLANK(F38)=TRUE,21,IF(F38=" ",0,IF(F38="H",0,21))))</f>
        <v>0</v>
      </c>
      <c r="CG48" s="128" t="s">
        <v>119</v>
      </c>
      <c r="CH48" s="129">
        <f>IF(SUM(CH$38:CH47)=0,CI48,0)</f>
        <v>0</v>
      </c>
      <c r="CI48" s="132">
        <f>IF($H$5&lt;22,0,IF(ISBLANK($E38)=TRUE,21,IF($E38=" ",0,IF(AND($H$8&lt;&gt;"3D",$E38="N"),0,21))))</f>
        <v>0</v>
      </c>
      <c r="CJ48" s="128" t="str">
        <f>IF($H$8&lt;&gt;"3D","ENTER CIRCUIT #21 NEUTRAL IDENTIFIER  ( N or SPACE )","ENTER CIRCUIT #21 NEUTRAL IDENTIFIER  ( SPACE )")</f>
        <v>ENTER CIRCUIT #21 NEUTRAL IDENTIFIER  ( N or SPACE )</v>
      </c>
      <c r="CK48" s="128"/>
      <c r="CL48" s="128"/>
      <c r="CM48" s="128"/>
      <c r="CN48" s="128"/>
      <c r="CO48" s="128"/>
      <c r="CP48" s="128"/>
      <c r="CQ48" s="32"/>
      <c r="CX48" s="62">
        <f t="shared" si="9"/>
        <v>1550.00001</v>
      </c>
      <c r="CY48" s="24"/>
      <c r="CZ48" s="22"/>
      <c r="DA48" s="62">
        <f t="shared" si="7"/>
        <v>1620</v>
      </c>
      <c r="DB48" s="62">
        <f>DB30*DE48</f>
        <v>1620</v>
      </c>
      <c r="DC48" s="62" t="s">
        <v>114</v>
      </c>
      <c r="DD48" s="62">
        <v>17</v>
      </c>
      <c r="DE48" s="62">
        <v>6</v>
      </c>
      <c r="DF48" s="62"/>
      <c r="DG48" s="62"/>
      <c r="DH48" s="62"/>
      <c r="DJ48" s="22"/>
      <c r="DR48" s="49" t="s">
        <v>64</v>
      </c>
      <c r="DS48" s="27">
        <f>CZ81</f>
        <v>4</v>
      </c>
      <c r="DT48" s="50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F48" s="22"/>
      <c r="EG48" s="22"/>
      <c r="EH48" s="22"/>
      <c r="EI48" s="22"/>
      <c r="EJ48" s="22"/>
      <c r="EK48" s="22"/>
      <c r="EL48" s="22"/>
      <c r="EM48" s="165">
        <v>3</v>
      </c>
      <c r="EN48" s="166">
        <v>1</v>
      </c>
      <c r="EO48" s="167" t="s">
        <v>134</v>
      </c>
      <c r="EP48" s="168">
        <f t="shared" si="18"/>
        <v>0.50800000000000001</v>
      </c>
      <c r="EQ48" s="166" t="s">
        <v>135</v>
      </c>
      <c r="ER48" s="166">
        <f>IF(EG$59&gt;2,EN48/EP48,0)</f>
        <v>0</v>
      </c>
      <c r="ES48" s="166"/>
      <c r="ET48" s="169"/>
    </row>
    <row r="49" spans="1:150" ht="12" customHeight="1">
      <c r="A49" s="92"/>
      <c r="B49" s="106">
        <v>43</v>
      </c>
      <c r="C49" s="674"/>
      <c r="D49" s="671"/>
      <c r="E49" s="668" t="s">
        <v>12</v>
      </c>
      <c r="F49" s="675" t="s">
        <v>12</v>
      </c>
      <c r="G49" s="670" t="s">
        <v>394</v>
      </c>
      <c r="H49" s="669"/>
      <c r="I49" s="108" t="str">
        <f t="shared" si="11"/>
        <v>L1</v>
      </c>
      <c r="J49" s="669"/>
      <c r="K49" s="670" t="s">
        <v>394</v>
      </c>
      <c r="L49" s="675" t="s">
        <v>12</v>
      </c>
      <c r="M49" s="668" t="s">
        <v>12</v>
      </c>
      <c r="N49" s="671"/>
      <c r="O49" s="672"/>
      <c r="P49" s="106">
        <v>44</v>
      </c>
      <c r="Q49" s="92"/>
      <c r="T49" s="126">
        <f>IF($H$5&gt;42,1,0)</f>
        <v>1</v>
      </c>
      <c r="U49" s="126" t="str">
        <f>IF($H$8=1,"L2","L1")</f>
        <v>L1</v>
      </c>
      <c r="W49" s="133">
        <f>IF(T49=0,0,IF($H$8=1," ",(H49+J49)))</f>
        <v>0</v>
      </c>
      <c r="X49" s="133" t="str">
        <f>IF(T49=0,0,IF($H$8=1,(H49+J49)," "))</f>
        <v xml:space="preserve"> </v>
      </c>
      <c r="Z49" s="133">
        <f>IF($H$8=1," ",IF(T49=0,0,IF(G49="G",H49,0)))</f>
        <v>0</v>
      </c>
      <c r="AA49" s="133">
        <f>IF($H$8=1," ",IF(T49=0,0,IF(K49="G",J49,0)))</f>
        <v>0</v>
      </c>
      <c r="AB49" s="133" t="str">
        <f>IF($H$8=1,IF(T49=0,0,IF(G49="G",H49,0))," ")</f>
        <v xml:space="preserve"> </v>
      </c>
      <c r="AC49" s="133" t="str">
        <f>IF($H$8=1,IF(T49=0,0,IF(K49="G",J49,0))," ")</f>
        <v xml:space="preserve"> </v>
      </c>
      <c r="AF49" s="126">
        <f>IF($H$8=1," ",IF(T49=0,0,IF(G49="D",H49,0)))</f>
        <v>0</v>
      </c>
      <c r="AG49" s="126">
        <f>IF($H$8=1," ",IF(T49=0,0,IF(K49="D",J49,0)))</f>
        <v>0</v>
      </c>
      <c r="AH49" s="126" t="str">
        <f>IF($H$8=1,IF(T49=0,0,IF(G49="D",H49,0))," ")</f>
        <v xml:space="preserve"> </v>
      </c>
      <c r="AI49" s="126" t="str">
        <f>IF($H$8=1,IF(T49=0,0,IF(K49="D",J49,0))," ")</f>
        <v xml:space="preserve"> </v>
      </c>
      <c r="AL49" s="126">
        <f>IF($H$8=1," ",IF(T49=0,0,IF(G49="C",H49,0)))</f>
        <v>0</v>
      </c>
      <c r="AM49" s="126">
        <f>IF($H$8=1," ",IF(T49=0,0,IF(K49="C",J49,0)))</f>
        <v>0</v>
      </c>
      <c r="AN49" s="126" t="str">
        <f>IF($H$8=1,IF(T49=0,0,IF(G49="C",H49,0))," ")</f>
        <v xml:space="preserve"> </v>
      </c>
      <c r="AO49" s="126" t="str">
        <f>IF($H$8=1,IF(T49=0,0,IF(K49="C",J49,0))," ")</f>
        <v xml:space="preserve"> </v>
      </c>
      <c r="AR49" s="133">
        <f t="shared" si="12"/>
        <v>0</v>
      </c>
      <c r="AS49" s="133">
        <f t="shared" si="10"/>
        <v>0</v>
      </c>
      <c r="AT49" s="133">
        <f>IF(T49=0,0,IF($H$8=1," ",IF(G49="M",H49,0)))</f>
        <v>0</v>
      </c>
      <c r="AU49" s="133">
        <f>IF(T49=0,0,IF($H$8=1," ",IF(K49="M",J49,0)))</f>
        <v>0</v>
      </c>
      <c r="AV49" s="133" t="str">
        <f>IF(T49=0,0,IF($H$8=1,IF(G49="M",H49,0)," "))</f>
        <v xml:space="preserve"> </v>
      </c>
      <c r="AW49" s="133" t="str">
        <f>IF(T49=0,0,IF($H$8=1,IF(K49="M",J49,0)," "))</f>
        <v xml:space="preserve"> </v>
      </c>
      <c r="BA49" s="133">
        <f>IF(T49=0,0,IF($H$8=1," ",IF(G49="K",H49,0)))</f>
        <v>0</v>
      </c>
      <c r="BB49" s="133">
        <f>IF(T49=0,0,IF($H$8=1," ",IF(K49="K",J49,0)))</f>
        <v>0</v>
      </c>
      <c r="BC49" s="133" t="str">
        <f>IF(T49=0,0,IF($H$8=1,IF(G49="K",H49,0)," "))</f>
        <v xml:space="preserve"> </v>
      </c>
      <c r="BD49" s="133" t="str">
        <f>IF(T49=0,0,IF($H$8=1,IF(K49="K",J49,0)," "))</f>
        <v xml:space="preserve"> </v>
      </c>
      <c r="BE49" s="133"/>
      <c r="BF49" s="133"/>
      <c r="BG49" s="126">
        <f>IF(T49=0,0,IF(E49="N",H49,0))</f>
        <v>0</v>
      </c>
      <c r="BH49" s="133">
        <f>IF(T49=0,0,IF(M49="N",J49,0))</f>
        <v>0</v>
      </c>
      <c r="BK49" s="133"/>
      <c r="BL49" s="133"/>
      <c r="BM49" s="133">
        <f>IF(T49=0,0,IF(E49="N",H49,0))</f>
        <v>0</v>
      </c>
      <c r="BN49" s="133">
        <f>IF(T49=0,0,IF(M49="N",J49,0))</f>
        <v>0</v>
      </c>
      <c r="BO49" s="133">
        <f>IF(T49=0,0,IF(E49="N",H49,0))</f>
        <v>0</v>
      </c>
      <c r="BP49" s="133">
        <f>IF(T49=0,0,IF(M49="N",J49,0))</f>
        <v>0</v>
      </c>
      <c r="BQ49" s="133"/>
      <c r="BR49" s="133"/>
      <c r="BS49" s="133"/>
      <c r="BT49" s="133"/>
      <c r="BU49" s="133"/>
      <c r="BV49" s="133"/>
      <c r="BW49" s="133"/>
      <c r="BY49" s="136"/>
      <c r="BZ49" s="130"/>
      <c r="CA49" s="128">
        <v>23</v>
      </c>
      <c r="CB49" s="129">
        <f>IF(SUM(CB$38:CB48)=0,CC49,0)</f>
        <v>0</v>
      </c>
      <c r="CC49" s="129">
        <f>IF(H$5&lt;24,0,IF(G39="G",0,IF(G39="C",0,IF(G39="M",0,IF(G39="K",0,IF(AND(OR($H$10="FULL",$H$10="AUTO"),G39="D"),0,23))))))</f>
        <v>0</v>
      </c>
      <c r="CD49" s="128" t="str">
        <f>IF($H$10="NONE","ENTER CIRCUIT #23 LOAD IDENTIFIER  ( G, C, M, K )","ENTER CIRCUIT #23 LOAD IDENTIFIER  ( G, D, C, M, K )")</f>
        <v>ENTER CIRCUIT #23 LOAD IDENTIFIER  ( G, D, C, M, K )</v>
      </c>
      <c r="CE49" s="129">
        <f>IF(SUM(CE$38:CE48)=0,CF49,0)</f>
        <v>0</v>
      </c>
      <c r="CF49" s="129">
        <f>IF(H$5&lt;24,0,IF(ISBLANK(F39)=TRUE,23,IF(F39=" ",0,IF(F39="H",0,23))))</f>
        <v>0</v>
      </c>
      <c r="CG49" s="128" t="s">
        <v>120</v>
      </c>
      <c r="CH49" s="129">
        <f>IF(SUM(CH$38:CH48)=0,CI49,0)</f>
        <v>0</v>
      </c>
      <c r="CI49" s="132">
        <f>IF($H$5&lt;24,0,IF(ISBLANK($E39)=TRUE,23,IF($E39="N",0,IF($E39=" ",0,23))))</f>
        <v>0</v>
      </c>
      <c r="CJ49" s="128" t="s">
        <v>450</v>
      </c>
      <c r="CK49" s="128"/>
      <c r="CL49" s="128"/>
      <c r="CM49" s="128"/>
      <c r="CN49" s="128"/>
      <c r="CO49" s="128"/>
      <c r="CP49" s="128"/>
      <c r="CQ49" s="32"/>
      <c r="CX49" s="57">
        <f t="shared" si="9"/>
        <v>1620.00001</v>
      </c>
      <c r="CY49" s="24"/>
      <c r="CZ49" s="22"/>
      <c r="DA49" s="57">
        <f t="shared" si="7"/>
        <v>1860</v>
      </c>
      <c r="DB49" s="57">
        <f>DB31*DE49</f>
        <v>1860</v>
      </c>
      <c r="DC49" s="57" t="s">
        <v>116</v>
      </c>
      <c r="DD49" s="57">
        <v>18</v>
      </c>
      <c r="DE49" s="57">
        <v>6</v>
      </c>
      <c r="DF49" s="57"/>
      <c r="DG49" s="57"/>
      <c r="DH49" s="57"/>
      <c r="DJ49" s="22"/>
      <c r="DR49" s="49" t="s">
        <v>147</v>
      </c>
      <c r="DS49" s="27" t="str">
        <f>CY10</f>
        <v>FULL</v>
      </c>
      <c r="DT49" s="50">
        <f>IF(DS49="FULL",1,0)</f>
        <v>1</v>
      </c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F49" s="22"/>
      <c r="EG49" s="22"/>
      <c r="EH49" s="22"/>
      <c r="EI49" s="22"/>
      <c r="EJ49" s="22"/>
      <c r="EK49" s="22"/>
      <c r="EL49" s="22"/>
      <c r="EM49" s="165">
        <v>4</v>
      </c>
      <c r="EN49" s="166">
        <v>1</v>
      </c>
      <c r="EO49" s="167" t="s">
        <v>134</v>
      </c>
      <c r="EP49" s="168">
        <f t="shared" si="18"/>
        <v>0.50800000000000001</v>
      </c>
      <c r="EQ49" s="166" t="s">
        <v>135</v>
      </c>
      <c r="ER49" s="166">
        <f>IF(EG$59&gt;3,EN49/EP49,0)</f>
        <v>0</v>
      </c>
      <c r="ES49" s="166"/>
      <c r="ET49" s="169"/>
    </row>
    <row r="50" spans="1:150" ht="12" customHeight="1">
      <c r="A50" s="92"/>
      <c r="B50" s="106">
        <v>45</v>
      </c>
      <c r="C50" s="674"/>
      <c r="D50" s="671"/>
      <c r="E50" s="668" t="s">
        <v>12</v>
      </c>
      <c r="F50" s="675" t="s">
        <v>12</v>
      </c>
      <c r="G50" s="670" t="s">
        <v>394</v>
      </c>
      <c r="H50" s="669"/>
      <c r="I50" s="108" t="str">
        <f t="shared" si="11"/>
        <v>L2</v>
      </c>
      <c r="J50" s="669"/>
      <c r="K50" s="670" t="s">
        <v>394</v>
      </c>
      <c r="L50" s="675" t="s">
        <v>12</v>
      </c>
      <c r="M50" s="668" t="s">
        <v>12</v>
      </c>
      <c r="N50" s="671"/>
      <c r="O50" s="672"/>
      <c r="P50" s="106">
        <v>46</v>
      </c>
      <c r="Q50" s="92"/>
      <c r="T50" s="126">
        <f>IF($H$5&gt;44,1,0)</f>
        <v>1</v>
      </c>
      <c r="U50" s="126" t="str">
        <f>IF($H$8=1,"L1","L2")</f>
        <v>L2</v>
      </c>
      <c r="W50" s="133" t="str">
        <f>IF(T50=0,0,IF($H$8=1,(H50+J50)," "))</f>
        <v xml:space="preserve"> </v>
      </c>
      <c r="X50" s="133">
        <f>IF(T50=0,0,IF($H$8=1," ",(H50+J50)))</f>
        <v>0</v>
      </c>
      <c r="Z50" s="133" t="str">
        <f>IF($H$8=1,IF(T50=0,0,IF(G50="G",H50,0))," ")</f>
        <v xml:space="preserve"> </v>
      </c>
      <c r="AA50" s="133" t="str">
        <f>IF($H$8=1,IF(T50=0,0,IF(K50="G",J50,0))," ")</f>
        <v xml:space="preserve"> </v>
      </c>
      <c r="AB50" s="133">
        <f>IF($H$8=1," ",IF(T50=0,0,IF(G50="G",H50,0)))</f>
        <v>0</v>
      </c>
      <c r="AC50" s="133">
        <f>IF($H$8=1," ",IF(T50=0,0,IF(K50="G",J50,0)))</f>
        <v>0</v>
      </c>
      <c r="AF50" s="126" t="str">
        <f>IF($H$8=1,IF(T50=0,0,IF(G50="D",H50,0))," ")</f>
        <v xml:space="preserve"> </v>
      </c>
      <c r="AG50" s="126" t="str">
        <f>IF($H$8=1,IF(T50=0,0,IF(K50="D",J50,0))," ")</f>
        <v xml:space="preserve"> </v>
      </c>
      <c r="AH50" s="126">
        <f>IF($H$8=1," ",IF(T50=0,0,IF(G50="D",H50,0)))</f>
        <v>0</v>
      </c>
      <c r="AI50" s="126">
        <f>IF($H$8=1," ",IF(T50=0,0,IF(K50="D",J50,0)))</f>
        <v>0</v>
      </c>
      <c r="AL50" s="126" t="str">
        <f>IF($H$8=1,IF(T50=0,0,IF(G50="C",H50,0))," ")</f>
        <v xml:space="preserve"> </v>
      </c>
      <c r="AM50" s="126" t="str">
        <f>IF($H$8=1,IF(T50=0,0,IF(K50="C",J50,0))," ")</f>
        <v xml:space="preserve"> </v>
      </c>
      <c r="AN50" s="126">
        <f>IF($H$8=1," ",IF(T50=0,0,IF(G50="C",H50,0)))</f>
        <v>0</v>
      </c>
      <c r="AO50" s="126">
        <f>IF($H$8=1," ",IF(T50=0,0,IF(K50="C",J50,0)))</f>
        <v>0</v>
      </c>
      <c r="AR50" s="133">
        <f t="shared" si="12"/>
        <v>0</v>
      </c>
      <c r="AS50" s="133">
        <f t="shared" si="10"/>
        <v>0</v>
      </c>
      <c r="AT50" s="133" t="str">
        <f>IF(T50=0,0,IF($H$8=1,IF(G50="M",H50,0)," "))</f>
        <v xml:space="preserve"> </v>
      </c>
      <c r="AU50" s="133" t="str">
        <f>IF(T50=0,0,IF($H$8=1,IF(K50="M",J50,0)," "))</f>
        <v xml:space="preserve"> </v>
      </c>
      <c r="AV50" s="133">
        <f>IF(T50=0,0,IF($H$8=1," ",IF(G50="M",H50,0)))</f>
        <v>0</v>
      </c>
      <c r="AW50" s="133">
        <f>IF(T50=0,0,IF($H$8=1," ",IF(K50="M",J50,0)))</f>
        <v>0</v>
      </c>
      <c r="BA50" s="133" t="str">
        <f>IF(T50=0,0,IF($H$8=1,IF(G50="K",H50,0)," "))</f>
        <v xml:space="preserve"> </v>
      </c>
      <c r="BB50" s="133" t="str">
        <f>IF(T50=0,0,IF($H$8=1,IF(K50="K",J50,0)," "))</f>
        <v xml:space="preserve"> </v>
      </c>
      <c r="BC50" s="133">
        <f>IF(T50=0,0,IF($H$8=1," ",IF(G50="K",H50,0)))</f>
        <v>0</v>
      </c>
      <c r="BD50" s="133">
        <f>IF(T50=0,0,IF($H$8=1," ",IF(K50="K",J50,0)))</f>
        <v>0</v>
      </c>
      <c r="BE50" s="133"/>
      <c r="BF50" s="133"/>
      <c r="BK50" s="133">
        <f>IF(T50=0,0,IF(E50="N",H50,0))</f>
        <v>0</v>
      </c>
      <c r="BL50" s="133">
        <f>IF(T50=0,0,IF(M50="N",J50,0))</f>
        <v>0</v>
      </c>
      <c r="BM50" s="133"/>
      <c r="BN50" s="133"/>
      <c r="BO50" s="133"/>
      <c r="BP50" s="133"/>
      <c r="BQ50" s="133">
        <f>IF(T50=0,0,IF(E50="N",H50,0))</f>
        <v>0</v>
      </c>
      <c r="BR50" s="133">
        <f>IF(T50=0,0,IF(M50="N",J50,0))</f>
        <v>0</v>
      </c>
      <c r="BS50" s="133"/>
      <c r="BT50" s="133"/>
      <c r="BU50" s="133"/>
      <c r="BV50" s="133"/>
      <c r="BW50" s="133"/>
      <c r="BY50" s="130"/>
      <c r="BZ50" s="130"/>
      <c r="CA50" s="128">
        <v>25</v>
      </c>
      <c r="CB50" s="129">
        <f>IF(SUM(CB$38:CB49)=0,CC50,0)</f>
        <v>0</v>
      </c>
      <c r="CC50" s="129">
        <f>IF(H$5&lt;26,0,IF(G40="G",0,IF(G40="C",0,IF(G40="M",0,IF(G40="K",0,IF(AND(OR($H$10="FULL",$H$10="AUTO"),G40="D"),0,25))))))</f>
        <v>0</v>
      </c>
      <c r="CD50" s="128" t="str">
        <f>IF($H$10="NONE","ENTER CIRCUIT #25 LOAD IDENTIFIER  ( G, C, M, K )","ENTER CIRCUIT #25 LOAD IDENTIFIER  ( G, D, C, M, K )")</f>
        <v>ENTER CIRCUIT #25 LOAD IDENTIFIER  ( G, D, C, M, K )</v>
      </c>
      <c r="CE50" s="129">
        <f>IF(SUM(CE$38:CE49)=0,CF50,0)</f>
        <v>0</v>
      </c>
      <c r="CF50" s="129">
        <f>IF(H$5&lt;26,0,IF(ISBLANK(F40)=TRUE,25,IF(F40=" ",0,IF(F40="H",0,25))))</f>
        <v>0</v>
      </c>
      <c r="CG50" s="128" t="s">
        <v>121</v>
      </c>
      <c r="CH50" s="129">
        <f>IF(SUM(CH$38:CH49)=0,CI50,0)</f>
        <v>0</v>
      </c>
      <c r="CI50" s="132">
        <f>IF($H$5&lt;26,0,IF(ISBLANK($E40)=TRUE,25,IF($E40="N",0,IF($E40=" ",0,25))))</f>
        <v>0</v>
      </c>
      <c r="CJ50" s="128" t="s">
        <v>451</v>
      </c>
      <c r="CK50" s="128"/>
      <c r="CL50" s="128"/>
      <c r="CM50" s="128"/>
      <c r="CN50" s="128"/>
      <c r="CO50" s="128"/>
      <c r="CP50" s="128"/>
      <c r="CQ50" s="32"/>
      <c r="CX50" s="73" t="s">
        <v>149</v>
      </c>
      <c r="CY50" s="79" t="s">
        <v>149</v>
      </c>
      <c r="CZ50" s="79" t="s">
        <v>149</v>
      </c>
      <c r="DA50" s="70" t="s">
        <v>149</v>
      </c>
      <c r="DB50" s="27"/>
      <c r="DC50" s="27"/>
      <c r="DD50" s="27"/>
      <c r="DE50" s="27"/>
      <c r="DF50" s="22"/>
      <c r="DG50" s="22"/>
      <c r="DH50" s="22"/>
      <c r="DJ50" s="22"/>
      <c r="DR50" s="49" t="s">
        <v>150</v>
      </c>
      <c r="DS50" s="27">
        <f>IF($H$8=1,2,IF($H$8="3D",2,IF($H$8="3Y",3)))</f>
        <v>3</v>
      </c>
      <c r="DT50" s="50">
        <f>DS50</f>
        <v>3</v>
      </c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F50" s="22"/>
      <c r="EG50" s="22"/>
      <c r="EH50" s="22"/>
      <c r="EI50" s="22"/>
      <c r="EJ50" s="22"/>
      <c r="EK50" s="22"/>
      <c r="EL50" s="22"/>
      <c r="EM50" s="165">
        <v>5</v>
      </c>
      <c r="EN50" s="166">
        <v>1</v>
      </c>
      <c r="EO50" s="167" t="s">
        <v>134</v>
      </c>
      <c r="EP50" s="168">
        <f t="shared" si="18"/>
        <v>0.50800000000000001</v>
      </c>
      <c r="EQ50" s="166" t="s">
        <v>135</v>
      </c>
      <c r="ER50" s="166">
        <f>IF(EG$59&gt;4,EN50/EP50,0)</f>
        <v>0</v>
      </c>
      <c r="ES50" s="166"/>
      <c r="ET50" s="169"/>
    </row>
    <row r="51" spans="1:150" ht="12" customHeight="1">
      <c r="A51" s="92"/>
      <c r="B51" s="106">
        <v>47</v>
      </c>
      <c r="C51" s="674"/>
      <c r="D51" s="671"/>
      <c r="E51" s="668" t="s">
        <v>12</v>
      </c>
      <c r="F51" s="675" t="s">
        <v>12</v>
      </c>
      <c r="G51" s="670" t="s">
        <v>394</v>
      </c>
      <c r="H51" s="669"/>
      <c r="I51" s="108" t="str">
        <f t="shared" si="11"/>
        <v>L3</v>
      </c>
      <c r="J51" s="669"/>
      <c r="K51" s="670" t="s">
        <v>394</v>
      </c>
      <c r="L51" s="675" t="s">
        <v>12</v>
      </c>
      <c r="M51" s="668" t="s">
        <v>12</v>
      </c>
      <c r="N51" s="671"/>
      <c r="O51" s="672"/>
      <c r="P51" s="106">
        <v>48</v>
      </c>
      <c r="Q51" s="92"/>
      <c r="T51" s="126">
        <f>IF($H$5&gt;46,1,0)</f>
        <v>1</v>
      </c>
      <c r="U51" s="126" t="str">
        <f>IF($H$8=1,"L2","L3")</f>
        <v>L3</v>
      </c>
      <c r="X51" s="133" t="str">
        <f>IF(T51=0,0,IF($H$8=1,(H51+J51)," "))</f>
        <v xml:space="preserve"> </v>
      </c>
      <c r="Y51" s="133">
        <f>IF(T51=0,0,IF($H$8=1," ",(H51+J51)))</f>
        <v>0</v>
      </c>
      <c r="AB51" s="133" t="str">
        <f>IF($H$8=1,IF(T51=0,0,IF(G51="G",H51,0))," ")</f>
        <v xml:space="preserve"> </v>
      </c>
      <c r="AC51" s="133" t="str">
        <f>IF($H$8=1,IF(T51=0,0,IF(K51="G",J51,0))," ")</f>
        <v xml:space="preserve"> </v>
      </c>
      <c r="AD51" s="133">
        <f>IF($H$8=1," ",IF(T51=0,0,IF(G51="G",H51,0)))</f>
        <v>0</v>
      </c>
      <c r="AE51" s="133">
        <f>IF($H$8=1," ",IF(T51=0,0,IF(K51="G",J51,0)))</f>
        <v>0</v>
      </c>
      <c r="AH51" s="126" t="str">
        <f>IF($H$8=1,IF(T51=0,0,IF(G51="D",H51,0))," ")</f>
        <v xml:space="preserve"> </v>
      </c>
      <c r="AI51" s="126" t="str">
        <f>IF($H$8=1,IF(T51=0,0,IF(K51="D",J51,0))," ")</f>
        <v xml:space="preserve"> </v>
      </c>
      <c r="AJ51" s="126">
        <f>IF($H$8=1," ",IF(T51=0,0,IF(G51="D",H51,0)))</f>
        <v>0</v>
      </c>
      <c r="AK51" s="126">
        <f>IF($H$8=1," ",IF(T51=0,0,IF(K51="D",J51,0)))</f>
        <v>0</v>
      </c>
      <c r="AN51" s="126" t="str">
        <f>IF($H$8=1,IF(T51=0,0,IF(G51="C",H51,0))," ")</f>
        <v xml:space="preserve"> </v>
      </c>
      <c r="AO51" s="126" t="str">
        <f>IF($H$8=1,IF(T51=0,0,IF(K51="C",J51,0))," ")</f>
        <v xml:space="preserve"> </v>
      </c>
      <c r="AP51" s="126">
        <f>IF($H$8=1," ",IF(T51=0,0,IF(G51="C",H51,0)))</f>
        <v>0</v>
      </c>
      <c r="AQ51" s="126">
        <f>IF($H$8=1," ",IF(T51=0,0,IF(K51="C",J51,0)))</f>
        <v>0</v>
      </c>
      <c r="AR51" s="133">
        <f t="shared" si="12"/>
        <v>0</v>
      </c>
      <c r="AS51" s="133">
        <f t="shared" si="10"/>
        <v>0</v>
      </c>
      <c r="AV51" s="133" t="str">
        <f>IF(T51=0,0,IF($H$8=1,IF(G51="M",H51,0)," "))</f>
        <v xml:space="preserve"> </v>
      </c>
      <c r="AW51" s="133" t="str">
        <f>IF(T51=0,0,IF($H$8=1,IF(K51="M",J51,0)," "))</f>
        <v xml:space="preserve"> </v>
      </c>
      <c r="AX51" s="133">
        <f>IF(T51=0,0,IF($H$8=1," ",IF(G51="M",H51,0)))</f>
        <v>0</v>
      </c>
      <c r="AY51" s="133">
        <f>IF(T51=0,0,IF($H$8=1," ",IF(K51="M",J51,0)))</f>
        <v>0</v>
      </c>
      <c r="BA51" s="133"/>
      <c r="BB51" s="133"/>
      <c r="BC51" s="133" t="str">
        <f>IF(T51=0,0,IF($H$8=1,IF(G51="K",H51,0)," "))</f>
        <v xml:space="preserve"> </v>
      </c>
      <c r="BD51" s="133" t="str">
        <f>IF(T51=0,0,IF($H$8=1,IF(K51="K",J51,0)," "))</f>
        <v xml:space="preserve"> </v>
      </c>
      <c r="BE51" s="133">
        <f>IF(T51=0,0,IF($H$8=1," ",IF(G51="K",H51,0)))</f>
        <v>0</v>
      </c>
      <c r="BF51" s="133">
        <f>IF(T51=0,0,IF($H$8=1," ",IF(K51="K",J51,0)))</f>
        <v>0</v>
      </c>
      <c r="BG51" s="126"/>
      <c r="BI51" s="133">
        <f>IF(T51=0,0,IF(E51="N",H51,0))</f>
        <v>0</v>
      </c>
      <c r="BJ51" s="133">
        <f>IF(T51=0,0,IF(M51="N",J51,0))</f>
        <v>0</v>
      </c>
      <c r="BK51" s="133"/>
      <c r="BL51" s="133"/>
      <c r="BM51" s="133">
        <f>IF(T51=0,0,IF(E51="N",H51,0))</f>
        <v>0</v>
      </c>
      <c r="BN51" s="133">
        <f>IF(T51=0,0,IF(M51="N",J51,0))</f>
        <v>0</v>
      </c>
      <c r="BO51" s="133"/>
      <c r="BP51" s="133"/>
      <c r="BQ51" s="133"/>
      <c r="BR51" s="133"/>
      <c r="BS51" s="133">
        <f>IF(T51=0,0,IF(E51="N",H51,0))</f>
        <v>0</v>
      </c>
      <c r="BT51" s="133">
        <f>IF(T51=0,0,IF(M51="N",J51,0))</f>
        <v>0</v>
      </c>
      <c r="BU51" s="133"/>
      <c r="BV51" s="133"/>
      <c r="BW51" s="133"/>
      <c r="BY51" s="130"/>
      <c r="BZ51" s="130"/>
      <c r="CA51" s="128">
        <v>27</v>
      </c>
      <c r="CB51" s="129">
        <f>IF(SUM(CB$38:CB50)=0,CC51,0)</f>
        <v>0</v>
      </c>
      <c r="CC51" s="129">
        <f>IF(H$5&lt;28,0,IF(G41="G",0,IF(G41="C",0,IF(G41="M",0,IF(G41="K",0,IF(AND(OR($H$10="FULL",$H$10="AUTO"),OR($H$8=1,$H$8="3Y"),G41="D"),0,27))))))</f>
        <v>0</v>
      </c>
      <c r="CD51" s="128" t="str">
        <f>IF($H$10="NONE","ENTER CIRCUIT #27 LOAD IDENTIFIER  ( G, C, M, K )",IF($H$8="3D","ENTER CIRCUIT #27 LOAD IDENTIFIER  ( G, C, M, K )","ENTER CIRCUIT #27 LOAD IDENTIFIER  ( G, D, C, M, K )"))</f>
        <v>ENTER CIRCUIT #27 LOAD IDENTIFIER  ( G, D, C, M, K )</v>
      </c>
      <c r="CE51" s="129">
        <f>IF(SUM(CE$38:CE50)=0,CF51,0)</f>
        <v>0</v>
      </c>
      <c r="CF51" s="129">
        <f>IF(H$5&lt;28,0,IF(ISBLANK(F41)=TRUE,27,IF(F41=" ",0,IF(F41="H",0,27))))</f>
        <v>0</v>
      </c>
      <c r="CG51" s="128" t="s">
        <v>122</v>
      </c>
      <c r="CH51" s="129">
        <f>IF(SUM(CH$38:CH50)=0,CI51,0)</f>
        <v>0</v>
      </c>
      <c r="CI51" s="132">
        <f>IF($H$5&lt;28,0,IF(ISBLANK($E41)=TRUE,27,IF($E41=" ",0,IF(AND($H$8&lt;&gt;"3D",$E41="N"),0,27))))</f>
        <v>0</v>
      </c>
      <c r="CJ51" s="128" t="str">
        <f>IF($H$8&lt;&gt;"3D","ENTER CIRCUIT #27 NEUTRAL IDENTIFIER  ( N or SPACE )","ENTER CIRCUIT #27 NEUTRAL IDENTIFIER  ( SPACE )")</f>
        <v>ENTER CIRCUIT #27 NEUTRAL IDENTIFIER  ( N or SPACE )</v>
      </c>
      <c r="CK51" s="128"/>
      <c r="CL51" s="128"/>
      <c r="CM51" s="128"/>
      <c r="CN51" s="128"/>
      <c r="CO51" s="128"/>
      <c r="CP51" s="128"/>
      <c r="CQ51" s="32"/>
      <c r="CX51" s="74" t="s">
        <v>67</v>
      </c>
      <c r="CY51" s="27" t="s">
        <v>68</v>
      </c>
      <c r="CZ51" s="27" t="s">
        <v>68</v>
      </c>
      <c r="DA51" s="75" t="s">
        <v>68</v>
      </c>
      <c r="DB51" s="27"/>
      <c r="DC51" s="27"/>
      <c r="DD51" s="27"/>
      <c r="DE51" s="27"/>
      <c r="DF51" s="22"/>
      <c r="DG51" s="22"/>
      <c r="DH51" s="22"/>
      <c r="DJ51" s="22"/>
      <c r="DR51" s="49" t="s">
        <v>152</v>
      </c>
      <c r="DS51" s="27"/>
      <c r="DT51" s="50">
        <f>DT49+DT50</f>
        <v>4</v>
      </c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F51" s="22"/>
      <c r="EG51" s="22"/>
      <c r="EH51" s="22"/>
      <c r="EI51" s="22"/>
      <c r="EJ51" s="22"/>
      <c r="EK51" s="22"/>
      <c r="EL51" s="22"/>
      <c r="EM51" s="165">
        <v>6</v>
      </c>
      <c r="EN51" s="166">
        <v>1</v>
      </c>
      <c r="EO51" s="167" t="s">
        <v>134</v>
      </c>
      <c r="EP51" s="168">
        <f t="shared" si="18"/>
        <v>0.50800000000000001</v>
      </c>
      <c r="EQ51" s="166" t="s">
        <v>135</v>
      </c>
      <c r="ER51" s="166">
        <f>IF(EG$59&gt;5,EN51/EP51,0)</f>
        <v>0</v>
      </c>
      <c r="ES51" s="166"/>
      <c r="ET51" s="169"/>
    </row>
    <row r="52" spans="1:150" ht="12" customHeight="1">
      <c r="A52" s="92"/>
      <c r="B52" s="106">
        <v>49</v>
      </c>
      <c r="C52" s="674"/>
      <c r="D52" s="671"/>
      <c r="E52" s="668" t="s">
        <v>12</v>
      </c>
      <c r="F52" s="675" t="s">
        <v>12</v>
      </c>
      <c r="G52" s="670" t="s">
        <v>394</v>
      </c>
      <c r="H52" s="669"/>
      <c r="I52" s="108" t="str">
        <f t="shared" si="11"/>
        <v>L1</v>
      </c>
      <c r="J52" s="669"/>
      <c r="K52" s="670" t="s">
        <v>394</v>
      </c>
      <c r="L52" s="675" t="s">
        <v>12</v>
      </c>
      <c r="M52" s="668" t="s">
        <v>12</v>
      </c>
      <c r="N52" s="671"/>
      <c r="O52" s="672"/>
      <c r="P52" s="106">
        <v>50</v>
      </c>
      <c r="Q52" s="92"/>
      <c r="T52" s="126">
        <f>IF($H$5&gt;48,1,0)</f>
        <v>1</v>
      </c>
      <c r="U52" s="126" t="str">
        <f>IF($H$8=1,"L1","L1")</f>
        <v>L1</v>
      </c>
      <c r="W52" s="133">
        <f>IF(T52=0,0,(H52+J52))</f>
        <v>0</v>
      </c>
      <c r="Z52" s="133">
        <f>IF(T52=0,0,IF(G52="G",H52,0))</f>
        <v>0</v>
      </c>
      <c r="AA52" s="133">
        <f>IF(T52=0,0,IF(K52="G",J52,0))</f>
        <v>0</v>
      </c>
      <c r="AF52" s="126">
        <f>IF(T52=0,0,IF(G52="D",H52,0))</f>
        <v>0</v>
      </c>
      <c r="AG52" s="126">
        <f>IF(T52=0,0,IF(K52="D",J52,0))</f>
        <v>0</v>
      </c>
      <c r="AL52" s="126">
        <f>IF(T52=0,0,IF(G52="C",H52,0))</f>
        <v>0</v>
      </c>
      <c r="AM52" s="126">
        <f>IF(T52=0,0,IF(K52="C",J52,0))</f>
        <v>0</v>
      </c>
      <c r="AR52" s="133">
        <f t="shared" si="12"/>
        <v>0</v>
      </c>
      <c r="AS52" s="133">
        <f t="shared" si="10"/>
        <v>0</v>
      </c>
      <c r="AT52" s="133">
        <f>IF(T52=0,0,IF(G52="M",H52,0))</f>
        <v>0</v>
      </c>
      <c r="AU52" s="133">
        <f>IF(T52=0,0,IF(K52="M",J52,0))</f>
        <v>0</v>
      </c>
      <c r="BA52" s="133">
        <f>IF(T52=0,0,IF(G52="K",H52,0))</f>
        <v>0</v>
      </c>
      <c r="BB52" s="133">
        <f>IF(T52=0,0,IF(K52="K",J52,0))</f>
        <v>0</v>
      </c>
      <c r="BC52" s="133"/>
      <c r="BD52" s="133"/>
      <c r="BE52" s="133"/>
      <c r="BF52" s="133"/>
      <c r="BG52" s="126">
        <f>IF(T52=0,0,IF(E52="N",H52,0))</f>
        <v>0</v>
      </c>
      <c r="BH52" s="133">
        <f>IF(T52=0,0,IF(M52="N",J52,0))</f>
        <v>0</v>
      </c>
      <c r="BK52" s="133">
        <f>IF(T52=0,0,IF(E52="N",H52,0))</f>
        <v>0</v>
      </c>
      <c r="BL52" s="133">
        <f>IF(T52=0,0,IF(M52="N",J52,0))</f>
        <v>0</v>
      </c>
      <c r="BM52" s="133"/>
      <c r="BN52" s="133"/>
      <c r="BO52" s="133">
        <f>IF(T52=0,0,IF(E52="N",H52,0))</f>
        <v>0</v>
      </c>
      <c r="BP52" s="133">
        <f>IF(T52=0,0,IF(M52="N",J52,0))</f>
        <v>0</v>
      </c>
      <c r="BQ52" s="133"/>
      <c r="BR52" s="133"/>
      <c r="BS52" s="133"/>
      <c r="BT52" s="133"/>
      <c r="BU52" s="133"/>
      <c r="BV52" s="133"/>
      <c r="BW52" s="133"/>
      <c r="BY52" s="130"/>
      <c r="BZ52" s="130"/>
      <c r="CA52" s="128">
        <v>29</v>
      </c>
      <c r="CB52" s="129">
        <f>IF(SUM(CB$38:CB51)=0,CC52,0)</f>
        <v>0</v>
      </c>
      <c r="CC52" s="129">
        <f>IF(H$5&lt;30,0,IF(G42="G",0,IF(G42="C",0,IF(G42="M",0,IF(G42="K",0,IF(AND(OR($H$10="FULL",$H$10="AUTO"),G42="D"),0,29))))))</f>
        <v>0</v>
      </c>
      <c r="CD52" s="128" t="str">
        <f>IF($H$10="NONE","ENTER CIRCUIT #29 LOAD IDENTIFIER  ( G, C, M, K )","ENTER CIRCUIT #29 LOAD IDENTIFIER  ( G, D, C, M, K )")</f>
        <v>ENTER CIRCUIT #29 LOAD IDENTIFIER  ( G, D, C, M, K )</v>
      </c>
      <c r="CE52" s="129">
        <f>IF(SUM(CE$38:CE51)=0,CF52,0)</f>
        <v>0</v>
      </c>
      <c r="CF52" s="129">
        <f>IF(H$5&lt;30,0,IF(ISBLANK(F42)=TRUE,29,IF(F42=" ",0,IF(F42="H",0,29))))</f>
        <v>0</v>
      </c>
      <c r="CG52" s="128" t="s">
        <v>123</v>
      </c>
      <c r="CH52" s="129">
        <f>IF(SUM(CH$38:CH51)=0,CI52,0)</f>
        <v>0</v>
      </c>
      <c r="CI52" s="132">
        <f>IF($H$5&lt;30,0,IF(ISBLANK($E42)=TRUE,29,IF($E42="N",0,IF($E42=" ",0,29))))</f>
        <v>0</v>
      </c>
      <c r="CJ52" s="128" t="s">
        <v>452</v>
      </c>
      <c r="CK52" s="128"/>
      <c r="CL52" s="128"/>
      <c r="CM52" s="128"/>
      <c r="CN52" s="128"/>
      <c r="CO52" s="128"/>
      <c r="CP52" s="128"/>
      <c r="CQ52" s="32"/>
      <c r="CX52" s="74" t="s">
        <v>68</v>
      </c>
      <c r="CY52" s="27" t="s">
        <v>38</v>
      </c>
      <c r="CZ52" s="27" t="s">
        <v>38</v>
      </c>
      <c r="DA52" s="75" t="s">
        <v>73</v>
      </c>
      <c r="DB52" s="27"/>
      <c r="DC52" s="27"/>
      <c r="DD52" s="27"/>
      <c r="DE52" s="22"/>
      <c r="DF52" s="22"/>
      <c r="DJ52" s="22"/>
      <c r="DR52" s="61" t="s">
        <v>64</v>
      </c>
      <c r="DS52" s="80"/>
      <c r="DT52" s="5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F52" s="22"/>
      <c r="EG52" s="22"/>
      <c r="EH52" s="22"/>
      <c r="EI52" s="22"/>
      <c r="EJ52" s="22"/>
      <c r="EK52" s="22"/>
      <c r="EL52" s="22"/>
      <c r="EM52" s="170"/>
      <c r="EN52" s="166"/>
      <c r="EO52" s="171"/>
      <c r="EP52" s="168"/>
      <c r="EQ52" s="166"/>
      <c r="ER52" s="166"/>
      <c r="ES52" s="166"/>
      <c r="ET52" s="169"/>
    </row>
    <row r="53" spans="1:150" ht="12" customHeight="1">
      <c r="A53" s="92"/>
      <c r="B53" s="106">
        <v>51</v>
      </c>
      <c r="C53" s="674"/>
      <c r="D53" s="671"/>
      <c r="E53" s="668" t="s">
        <v>12</v>
      </c>
      <c r="F53" s="675" t="s">
        <v>12</v>
      </c>
      <c r="G53" s="670" t="s">
        <v>394</v>
      </c>
      <c r="H53" s="669"/>
      <c r="I53" s="108" t="str">
        <f t="shared" si="11"/>
        <v>L2</v>
      </c>
      <c r="J53" s="669"/>
      <c r="K53" s="670" t="s">
        <v>394</v>
      </c>
      <c r="L53" s="675" t="s">
        <v>12</v>
      </c>
      <c r="M53" s="668" t="s">
        <v>12</v>
      </c>
      <c r="N53" s="671"/>
      <c r="O53" s="672"/>
      <c r="P53" s="106">
        <v>52</v>
      </c>
      <c r="Q53" s="92"/>
      <c r="T53" s="126">
        <f>IF($H$5&gt;50,1,0)</f>
        <v>1</v>
      </c>
      <c r="U53" s="126" t="str">
        <f>IF($H$8=1,"L2","L2")</f>
        <v>L2</v>
      </c>
      <c r="X53" s="133">
        <f>IF(T53=0,0,(H53+J53))</f>
        <v>0</v>
      </c>
      <c r="AB53" s="133">
        <f>IF(T53=0,0,IF(G53="G",H53,0))</f>
        <v>0</v>
      </c>
      <c r="AC53" s="133">
        <f>IF(T53=0,0,IF(K53="G",J53,0))</f>
        <v>0</v>
      </c>
      <c r="AH53" s="126">
        <f>IF(T53=0,0,IF(G53="D",H53,0))</f>
        <v>0</v>
      </c>
      <c r="AI53" s="126">
        <f>IF(T53=0,0,IF(K53="D",J53,0))</f>
        <v>0</v>
      </c>
      <c r="AN53" s="126">
        <f>IF(T53=0,0,IF(G53="C",H53,0))</f>
        <v>0</v>
      </c>
      <c r="AO53" s="126">
        <f>IF(T53=0,0,IF(K53="C",J53,0))</f>
        <v>0</v>
      </c>
      <c r="AR53" s="133">
        <f t="shared" si="12"/>
        <v>0</v>
      </c>
      <c r="AS53" s="133">
        <f t="shared" si="10"/>
        <v>0</v>
      </c>
      <c r="AV53" s="133">
        <f>IF(T53=0,0,IF(G53="M",H53,0))</f>
        <v>0</v>
      </c>
      <c r="AW53" s="133">
        <f>IF(T53=0,0,IF(K53="M",J53,0))</f>
        <v>0</v>
      </c>
      <c r="BA53" s="133"/>
      <c r="BB53" s="133"/>
      <c r="BC53" s="133">
        <f>IF(T53=0,0,IF(G53="K",H53,0))</f>
        <v>0</v>
      </c>
      <c r="BD53" s="133">
        <f>IF(T53=0,0,IF(K53="K",J53,0))</f>
        <v>0</v>
      </c>
      <c r="BE53" s="133"/>
      <c r="BF53" s="133"/>
      <c r="BK53" s="133"/>
      <c r="BL53" s="133"/>
      <c r="BM53" s="133">
        <f>IF(T53=0,0,IF(E53="N",H53,0))</f>
        <v>0</v>
      </c>
      <c r="BN53" s="133">
        <f>IF(T53=0,0,IF(M53="N",J53,0))</f>
        <v>0</v>
      </c>
      <c r="BO53" s="133"/>
      <c r="BP53" s="133"/>
      <c r="BQ53" s="133">
        <f>IF(T53=0,0,IF(E53="N",H53,0))</f>
        <v>0</v>
      </c>
      <c r="BR53" s="133">
        <f>IF(T53=0,0,IF(M53="N",J53,0))</f>
        <v>0</v>
      </c>
      <c r="BS53" s="133"/>
      <c r="BT53" s="133"/>
      <c r="BU53" s="133"/>
      <c r="BV53" s="133"/>
      <c r="BW53" s="133"/>
      <c r="BY53" s="130"/>
      <c r="BZ53" s="130"/>
      <c r="CA53" s="128">
        <v>31</v>
      </c>
      <c r="CB53" s="129">
        <f>IF(SUM(CB$38:CB52)=0,CC53,0)</f>
        <v>0</v>
      </c>
      <c r="CC53" s="129">
        <f>IF(H$5&lt;32,0,IF(G43="G",0,IF(G43="C",0,IF(G43="M",0,IF(G43="K",0,IF(AND(OR($H$10="FULL",$H$10="AUTO"),G43="D"),0,31))))))</f>
        <v>0</v>
      </c>
      <c r="CD53" s="128" t="str">
        <f>IF($H$10="NONE","ENTER CIRCUIT #31 LOAD IDENTIFIER  ( G, C, M, K )","ENTER CIRCUIT #31 LOAD IDENTIFIER  ( G, D, C, M, K )")</f>
        <v>ENTER CIRCUIT #31 LOAD IDENTIFIER  ( G, D, C, M, K )</v>
      </c>
      <c r="CE53" s="129">
        <f>IF(SUM(CE$38:CE52)=0,CF53,0)</f>
        <v>0</v>
      </c>
      <c r="CF53" s="129">
        <f>IF(H$5&lt;32,0,IF(ISBLANK(F43)=TRUE,31,IF(F43=" ",0,IF(F43="H",0,31))))</f>
        <v>0</v>
      </c>
      <c r="CG53" s="128" t="s">
        <v>124</v>
      </c>
      <c r="CH53" s="129">
        <f>IF(SUM(CH$38:CH52)=0,CI53,0)</f>
        <v>0</v>
      </c>
      <c r="CI53" s="132">
        <f>IF($H$5&lt;32,0,IF(ISBLANK($E43)=TRUE,31,IF($E43="N",0,IF($E43=" ",0,31))))</f>
        <v>0</v>
      </c>
      <c r="CJ53" s="128" t="s">
        <v>453</v>
      </c>
      <c r="CK53" s="128"/>
      <c r="CL53" s="128"/>
      <c r="CM53" s="128"/>
      <c r="CN53" s="128"/>
      <c r="CO53" s="128"/>
      <c r="CP53" s="128"/>
      <c r="CQ53" s="32"/>
      <c r="CX53" s="74" t="s">
        <v>48</v>
      </c>
      <c r="CY53" s="27" t="s">
        <v>74</v>
      </c>
      <c r="CZ53" s="27" t="s">
        <v>7</v>
      </c>
      <c r="DA53" s="75" t="s">
        <v>21</v>
      </c>
      <c r="DB53" s="27"/>
      <c r="DC53" s="27"/>
      <c r="DD53" s="27"/>
      <c r="DE53" s="22"/>
      <c r="DF53" s="22"/>
      <c r="DG53" s="22"/>
      <c r="DH53" s="22"/>
      <c r="DJ53" s="22"/>
      <c r="DR53" s="24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F53" s="45" t="s">
        <v>155</v>
      </c>
      <c r="EG53" s="22"/>
      <c r="EH53" s="22"/>
      <c r="EI53" s="22"/>
      <c r="EJ53" s="22"/>
      <c r="EK53" s="22"/>
      <c r="EL53" s="22"/>
      <c r="EM53" s="172" t="s">
        <v>252</v>
      </c>
      <c r="EN53" s="173"/>
      <c r="EO53" s="174"/>
      <c r="EP53" s="166">
        <v>1</v>
      </c>
      <c r="EQ53" s="166" t="s">
        <v>134</v>
      </c>
      <c r="ER53" s="166">
        <f>SUM(ER46:ER51)</f>
        <v>0</v>
      </c>
      <c r="ES53" s="166" t="s">
        <v>135</v>
      </c>
      <c r="ET53" s="169">
        <f>IF(EG$59=1,0,EP53/ER53)</f>
        <v>0</v>
      </c>
    </row>
    <row r="54" spans="1:150" ht="12" customHeight="1">
      <c r="A54" s="92"/>
      <c r="B54" s="106">
        <v>53</v>
      </c>
      <c r="C54" s="674"/>
      <c r="D54" s="671"/>
      <c r="E54" s="668" t="s">
        <v>12</v>
      </c>
      <c r="F54" s="675" t="s">
        <v>12</v>
      </c>
      <c r="G54" s="670" t="s">
        <v>394</v>
      </c>
      <c r="H54" s="669"/>
      <c r="I54" s="108" t="str">
        <f t="shared" si="11"/>
        <v>L3</v>
      </c>
      <c r="J54" s="669"/>
      <c r="K54" s="670" t="s">
        <v>394</v>
      </c>
      <c r="L54" s="675" t="s">
        <v>12</v>
      </c>
      <c r="M54" s="668" t="s">
        <v>12</v>
      </c>
      <c r="N54" s="671"/>
      <c r="O54" s="672"/>
      <c r="P54" s="106">
        <v>54</v>
      </c>
      <c r="Q54" s="92"/>
      <c r="T54" s="126">
        <f>IF($H$5&gt;52,1,0)</f>
        <v>1</v>
      </c>
      <c r="U54" s="126" t="str">
        <f>IF($H$8=1,"L1","L3")</f>
        <v>L3</v>
      </c>
      <c r="W54" s="133" t="str">
        <f>IF(T54=0,0,IF($H$8=1,(H54+J54)," "))</f>
        <v xml:space="preserve"> </v>
      </c>
      <c r="Y54" s="133">
        <f>IF(T54=0,0,IF($H$8=1," ",(H54+J54)))</f>
        <v>0</v>
      </c>
      <c r="Z54" s="133" t="str">
        <f>IF($H$8=1,IF(T54=0,0,IF(G54="G",H54,0))," ")</f>
        <v xml:space="preserve"> </v>
      </c>
      <c r="AA54" s="133" t="str">
        <f>IF($H$8=1,IF(T54=0,0,IF(K54="G",J54,0))," ")</f>
        <v xml:space="preserve"> </v>
      </c>
      <c r="AD54" s="133">
        <f>IF($H$8=1," ",IF(T54=0,0,IF(G54="G",H54,0)))</f>
        <v>0</v>
      </c>
      <c r="AE54" s="133">
        <f>IF($H$8=1," ",IF(T54=0,0,IF(K54="G",J54,0)))</f>
        <v>0</v>
      </c>
      <c r="AF54" s="126" t="str">
        <f>IF($H$8=1,IF(T54=0,0,IF(G54="D",H54,0))," ")</f>
        <v xml:space="preserve"> </v>
      </c>
      <c r="AG54" s="126" t="str">
        <f>IF($H$8=1,IF(T54=0,0,IF(K54="D",J54,0))," ")</f>
        <v xml:space="preserve"> </v>
      </c>
      <c r="AJ54" s="126">
        <f>IF($H$8=1," ",IF(T54=0,0,IF(G54="D",H54,0)))</f>
        <v>0</v>
      </c>
      <c r="AK54" s="126">
        <f>IF($H$8=1," ",IF(T54=0,0,IF(K54="D",J54,0)))</f>
        <v>0</v>
      </c>
      <c r="AL54" s="126" t="str">
        <f>IF($H$8=1,IF(T54=0,0,IF(G54="C",H54,0))," ")</f>
        <v xml:space="preserve"> </v>
      </c>
      <c r="AM54" s="126" t="str">
        <f>IF($H$8=1,IF(T54=0,0,IF(K54="C",J54,0))," ")</f>
        <v xml:space="preserve"> </v>
      </c>
      <c r="AP54" s="126">
        <f>IF($H$8=1," ",IF(T54=0,0,IF(G54="C",H54,0)))</f>
        <v>0</v>
      </c>
      <c r="AQ54" s="126">
        <f>IF($H$8=1," ",IF(T54=0,0,IF(K54="C",J54,0)))</f>
        <v>0</v>
      </c>
      <c r="AR54" s="133">
        <f t="shared" si="12"/>
        <v>0</v>
      </c>
      <c r="AS54" s="133">
        <f t="shared" si="10"/>
        <v>0</v>
      </c>
      <c r="AT54" s="133" t="str">
        <f>IF(T54=0,0,IF($H$8=1,IF(G54="M",H54,0)," "))</f>
        <v xml:space="preserve"> </v>
      </c>
      <c r="AU54" s="133" t="str">
        <f>IF(T54=0,0,IF($H$8=1,IF(K54="M",J54,0)," "))</f>
        <v xml:space="preserve"> </v>
      </c>
      <c r="AX54" s="133">
        <f>IF(T54=0,0,IF($H$8=1," ",IF(G54="M",H54,0)))</f>
        <v>0</v>
      </c>
      <c r="AY54" s="133">
        <f>IF(T54=0,0,IF($H$8=1," ",IF(K54="M",J54,0)))</f>
        <v>0</v>
      </c>
      <c r="BA54" s="133" t="str">
        <f>IF(T54=0,0,IF($H$8=1,IF(G54="K",H54,0)," "))</f>
        <v xml:space="preserve"> </v>
      </c>
      <c r="BB54" s="133" t="str">
        <f>IF(T54=0,0,IF($H$8=1,IF(K54="K",J54,0)," "))</f>
        <v xml:space="preserve"> </v>
      </c>
      <c r="BC54" s="133"/>
      <c r="BD54" s="133"/>
      <c r="BE54" s="133">
        <f>IF(T54=0,0,IF($H$8=1," ",IF(G54="K",H54,0)))</f>
        <v>0</v>
      </c>
      <c r="BF54" s="133">
        <f>IF(T54=0,0,IF($H$8=1," ",IF(K54="K",J54,0)))</f>
        <v>0</v>
      </c>
      <c r="BG54" s="126"/>
      <c r="BI54" s="133">
        <f>IF(T54=0,0,IF(E54="N",H54,0))</f>
        <v>0</v>
      </c>
      <c r="BJ54" s="133">
        <f>IF(T54=0,0,IF(M54="N",J54,0))</f>
        <v>0</v>
      </c>
      <c r="BK54" s="133">
        <f>IF(T54=0,0,IF(E54="N",H54,0))</f>
        <v>0</v>
      </c>
      <c r="BL54" s="133">
        <f>IF(T54=0,0,IF(M54="N",J54,0))</f>
        <v>0</v>
      </c>
      <c r="BM54" s="133"/>
      <c r="BN54" s="133"/>
      <c r="BO54" s="133"/>
      <c r="BP54" s="133"/>
      <c r="BQ54" s="133"/>
      <c r="BR54" s="133"/>
      <c r="BS54" s="133">
        <f>IF(T54=0,0,IF(E54="N",H54,0))</f>
        <v>0</v>
      </c>
      <c r="BT54" s="133">
        <f>IF(T54=0,0,IF(M54="N",J54,0))</f>
        <v>0</v>
      </c>
      <c r="BU54" s="133"/>
      <c r="BV54" s="133"/>
      <c r="BW54" s="133"/>
      <c r="BY54" s="130"/>
      <c r="BZ54" s="136"/>
      <c r="CA54" s="128">
        <v>33</v>
      </c>
      <c r="CB54" s="129">
        <f>IF(SUM(CB$38:CB53)=0,CC54,0)</f>
        <v>0</v>
      </c>
      <c r="CC54" s="129">
        <f>IF(H$5&lt;34,0,IF(G44="G",0,IF(G44="C",0,IF(G44="M",0,IF(G44="K",0,IF(AND(OR($H$10="FULL",$H$10="AUTO"),OR($H$8=1,$H$8="3Y"),G44="D"),0,33))))))</f>
        <v>0</v>
      </c>
      <c r="CD54" s="128" t="str">
        <f>IF($H$10="NONE","ENTER CIRCUIT #33 LOAD IDENTIFIER  ( G, C, M, K )",IF($H$8="3D","ENTER CIRCUIT #33 LOAD IDENTIFIER  ( G, C, M, K )","ENTER CIRCUIT #33 LOAD IDENTIFIER  ( G, D, C, M, K )"))</f>
        <v>ENTER CIRCUIT #33 LOAD IDENTIFIER  ( G, D, C, M, K )</v>
      </c>
      <c r="CE54" s="129">
        <f>IF(SUM(CE$38:CE53)=0,CF54,0)</f>
        <v>0</v>
      </c>
      <c r="CF54" s="129">
        <f>IF(H$5&lt;34,0,IF(ISBLANK(F44)=TRUE,33,IF(F44=" ",0,IF(F44="H",0,33))))</f>
        <v>0</v>
      </c>
      <c r="CG54" s="128" t="s">
        <v>127</v>
      </c>
      <c r="CH54" s="129">
        <f>IF(SUM(CH$38:CH53)=0,CI54,0)</f>
        <v>0</v>
      </c>
      <c r="CI54" s="132">
        <f>IF($H$5&lt;34,0,IF(ISBLANK($E44)=TRUE,33,IF($E44=" ",0,IF(AND($H$8&lt;&gt;"3D",$E44="N"),0,33))))</f>
        <v>0</v>
      </c>
      <c r="CJ54" s="128" t="str">
        <f>IF($H$8&lt;&gt;"3D","ENTER CIRCUIT #33 NEUTRAL IDENTIFIER  ( N or SPACE )","ENTER CIRCUIT #33 NEUTRAL IDENTIFIER  ( SPACE )")</f>
        <v>ENTER CIRCUIT #33 NEUTRAL IDENTIFIER  ( N or SPACE )</v>
      </c>
      <c r="CK54" s="128"/>
      <c r="CL54" s="128"/>
      <c r="CM54" s="128"/>
      <c r="CN54" s="128"/>
      <c r="CO54" s="128"/>
      <c r="CP54" s="128"/>
      <c r="CQ54" s="32"/>
      <c r="CW54" s="1" t="s">
        <v>484</v>
      </c>
      <c r="CX54" s="76">
        <f>VLOOKUP(CY9,CX18:DH49,4)</f>
        <v>65</v>
      </c>
      <c r="CY54" s="81" t="str">
        <f>VLOOKUP(CY9,CX18:DH49,6)</f>
        <v>#4</v>
      </c>
      <c r="CZ54" s="81">
        <f>VLOOKUP(CY9,CX18:DH49,7)</f>
        <v>6</v>
      </c>
      <c r="DA54" s="72">
        <f>VLOOKUP(CY9,CX18:DH49,8)</f>
        <v>1</v>
      </c>
      <c r="DB54" s="27"/>
      <c r="DC54" s="29" t="s">
        <v>529</v>
      </c>
      <c r="DD54" s="27"/>
      <c r="DE54" s="22"/>
      <c r="DF54" s="22"/>
      <c r="DG54" s="22"/>
      <c r="DH54" s="22"/>
      <c r="DJ54" s="22"/>
      <c r="DR54" s="58" t="s">
        <v>68</v>
      </c>
      <c r="DS54" s="58" t="s">
        <v>68</v>
      </c>
      <c r="DT54" s="58" t="str">
        <f t="shared" ref="DT54:DT73" si="19">IF($DS$46="THW",DX54,IF($DS$46="RHW",DY54,IF($DS$46="THHN",DZ54,IF($DS$46="XHHW",EA54,IF($DS$46="THW-CA",EB54,IF($DS$46="THHN-CA",EC54,IF($DS$46="XHHW-CA",ED54,"ERR")))))))</f>
        <v>ST</v>
      </c>
      <c r="DU54" s="22"/>
      <c r="DV54" s="58" t="s">
        <v>68</v>
      </c>
      <c r="DW54" s="58" t="s">
        <v>68</v>
      </c>
      <c r="DX54" s="58" t="s">
        <v>157</v>
      </c>
      <c r="DY54" s="58" t="s">
        <v>157</v>
      </c>
      <c r="DZ54" s="58" t="s">
        <v>157</v>
      </c>
      <c r="EA54" s="58" t="s">
        <v>157</v>
      </c>
      <c r="EB54" s="58" t="s">
        <v>158</v>
      </c>
      <c r="EC54" s="58" t="s">
        <v>158</v>
      </c>
      <c r="ED54" s="58" t="s">
        <v>158</v>
      </c>
      <c r="EF54" s="22"/>
      <c r="EG54" s="22" t="s">
        <v>401</v>
      </c>
      <c r="EH54" s="22" t="s">
        <v>478</v>
      </c>
      <c r="EI54" s="22" t="s">
        <v>523</v>
      </c>
      <c r="EJ54" s="22" t="s">
        <v>523</v>
      </c>
      <c r="EK54" s="22"/>
      <c r="EL54" s="22"/>
      <c r="EM54" s="175"/>
      <c r="EN54" s="174"/>
      <c r="EO54" s="174"/>
      <c r="EP54" s="176"/>
      <c r="EQ54" s="176"/>
      <c r="ER54" s="176"/>
      <c r="ES54" s="176"/>
      <c r="ET54" s="177"/>
    </row>
    <row r="55" spans="1:150" ht="12" customHeight="1">
      <c r="A55" s="92"/>
      <c r="B55" s="106">
        <v>55</v>
      </c>
      <c r="C55" s="674"/>
      <c r="D55" s="671"/>
      <c r="E55" s="668" t="s">
        <v>12</v>
      </c>
      <c r="F55" s="675" t="s">
        <v>12</v>
      </c>
      <c r="G55" s="670" t="s">
        <v>394</v>
      </c>
      <c r="H55" s="669"/>
      <c r="I55" s="108" t="str">
        <f t="shared" si="11"/>
        <v>L1</v>
      </c>
      <c r="J55" s="669"/>
      <c r="K55" s="670" t="s">
        <v>394</v>
      </c>
      <c r="L55" s="675" t="s">
        <v>12</v>
      </c>
      <c r="M55" s="668" t="s">
        <v>12</v>
      </c>
      <c r="N55" s="671"/>
      <c r="O55" s="672"/>
      <c r="P55" s="106">
        <v>56</v>
      </c>
      <c r="Q55" s="92"/>
      <c r="T55" s="126">
        <f>IF($H$5&gt;54,1,0)</f>
        <v>1</v>
      </c>
      <c r="U55" s="126" t="str">
        <f>IF($H$8=1,"L2","L1")</f>
        <v>L1</v>
      </c>
      <c r="W55" s="133">
        <f>IF(T55=0,0,IF($H$8=1," ",(H55+J55)))</f>
        <v>0</v>
      </c>
      <c r="X55" s="133" t="str">
        <f>IF(T55=0,0,IF($H$8=1,(H55+J55)," "))</f>
        <v xml:space="preserve"> </v>
      </c>
      <c r="Z55" s="133">
        <f>IF($H$8=1," ",IF(T55=0,0,IF(G55="G",H55,0)))</f>
        <v>0</v>
      </c>
      <c r="AA55" s="133">
        <f>IF($H$8=1," ",IF(T55=0,0,IF(K55="G",J55,0)))</f>
        <v>0</v>
      </c>
      <c r="AB55" s="133" t="str">
        <f>IF($H$8=1,IF(T55=0,0,IF(G55="G",H55,0))," ")</f>
        <v xml:space="preserve"> </v>
      </c>
      <c r="AC55" s="133" t="str">
        <f>IF($H$8=1,IF(T55=0,0,IF(K55="G",J55,0))," ")</f>
        <v xml:space="preserve"> </v>
      </c>
      <c r="AF55" s="126">
        <f>IF($H$8=1," ",IF(T55=0,0,IF(G55="D",H55,0)))</f>
        <v>0</v>
      </c>
      <c r="AG55" s="126">
        <f>IF($H$8=1," ",IF(T55=0,0,IF(K55="D",J55,0)))</f>
        <v>0</v>
      </c>
      <c r="AH55" s="126" t="str">
        <f>IF($H$8=1,IF(T55=0,0,IF(G55="D",H55,0))," ")</f>
        <v xml:space="preserve"> </v>
      </c>
      <c r="AI55" s="126" t="str">
        <f>IF($H$8=1,IF(T55=0,0,IF(K55="D",J55,0))," ")</f>
        <v xml:space="preserve"> </v>
      </c>
      <c r="AL55" s="126">
        <f>IF($H$8=1," ",IF(T55=0,0,IF(G55="C",H55,0)))</f>
        <v>0</v>
      </c>
      <c r="AM55" s="126">
        <f>IF($H$8=1," ",IF(T55=0,0,IF(K55="C",J55,0)))</f>
        <v>0</v>
      </c>
      <c r="AN55" s="126" t="str">
        <f>IF($H$8=1,IF(T55=0,0,IF(G55="C",H55,0))," ")</f>
        <v xml:space="preserve"> </v>
      </c>
      <c r="AO55" s="126" t="str">
        <f>IF($H$8=1,IF(T55=0,0,IF(K55="C",J55,0))," ")</f>
        <v xml:space="preserve"> </v>
      </c>
      <c r="AR55" s="133">
        <f t="shared" si="12"/>
        <v>0</v>
      </c>
      <c r="AS55" s="133">
        <f t="shared" si="10"/>
        <v>0</v>
      </c>
      <c r="AT55" s="133">
        <f>IF(T55=0,0,IF($H$8=1," ",IF(G55="M",H55,0)))</f>
        <v>0</v>
      </c>
      <c r="AU55" s="133">
        <f>IF(T55=0,0,IF($H$8=1," ",IF(K55="M",J55,0)))</f>
        <v>0</v>
      </c>
      <c r="AV55" s="133" t="str">
        <f>IF(T55=0,0,IF($H$8=1,IF(G55="M",H55,0)," "))</f>
        <v xml:space="preserve"> </v>
      </c>
      <c r="AW55" s="133" t="str">
        <f>IF(T55=0,0,IF($H$8=1,IF(K55="M",J55,0)," "))</f>
        <v xml:space="preserve"> </v>
      </c>
      <c r="BA55" s="133">
        <f>IF(T55=0,0,IF($H$8=1," ",IF(G55="K",H55,0)))</f>
        <v>0</v>
      </c>
      <c r="BB55" s="133">
        <f>IF(T55=0,0,IF($H$8=1," ",IF(K55="K",J55,0)))</f>
        <v>0</v>
      </c>
      <c r="BC55" s="133" t="str">
        <f>IF(T55=0,0,IF($H$8=1,IF(G55="K",H55,0)," "))</f>
        <v xml:space="preserve"> </v>
      </c>
      <c r="BD55" s="133" t="str">
        <f>IF(T55=0,0,IF($H$8=1,IF(K55="K",J55,0)," "))</f>
        <v xml:space="preserve"> </v>
      </c>
      <c r="BE55" s="133"/>
      <c r="BF55" s="133"/>
      <c r="BG55" s="126">
        <f>IF(T55=0,0,IF(E55="N",H55,0))</f>
        <v>0</v>
      </c>
      <c r="BH55" s="133">
        <f>IF(T55=0,0,IF(M55="N",J55,0))</f>
        <v>0</v>
      </c>
      <c r="BK55" s="133"/>
      <c r="BL55" s="133"/>
      <c r="BM55" s="133">
        <f>IF(T55=0,0,IF(E55="N",H55,0))</f>
        <v>0</v>
      </c>
      <c r="BN55" s="133">
        <f>IF(T55=0,0,IF(M55="N",J55,0))</f>
        <v>0</v>
      </c>
      <c r="BO55" s="133">
        <f>IF(T55=0,0,IF(E55="N",H55,0))</f>
        <v>0</v>
      </c>
      <c r="BP55" s="133">
        <f>IF(T55=0,0,IF(M55="N",J55,0))</f>
        <v>0</v>
      </c>
      <c r="BQ55" s="133"/>
      <c r="BR55" s="133"/>
      <c r="BS55" s="133"/>
      <c r="BT55" s="133"/>
      <c r="BU55" s="133"/>
      <c r="BV55" s="133"/>
      <c r="BW55" s="133"/>
      <c r="BY55" s="130"/>
      <c r="BZ55" s="136"/>
      <c r="CA55" s="128">
        <v>35</v>
      </c>
      <c r="CB55" s="129">
        <f>IF(SUM(CB$38:CB54)=0,CC55,0)</f>
        <v>0</v>
      </c>
      <c r="CC55" s="129">
        <f>IF(H$5&lt;36,0,IF(G45="G",0,IF(G45="C",0,IF(G45="M",0,IF(G45="K",0,IF(AND(OR($H$10="FULL",$H$10="AUTO"),G45="D"),0,35))))))</f>
        <v>0</v>
      </c>
      <c r="CD55" s="128" t="str">
        <f>IF($H$10="NONE","ENTER CIRCUIT #35 LOAD IDENTIFIER  ( G, C, M, K )","ENTER CIRCUIT #35 LOAD IDENTIFIER  ( G, D, C, M, K )")</f>
        <v>ENTER CIRCUIT #35 LOAD IDENTIFIER  ( G, D, C, M, K )</v>
      </c>
      <c r="CE55" s="129">
        <f>IF(SUM(CE$38:CE54)=0,CF55,0)</f>
        <v>0</v>
      </c>
      <c r="CF55" s="129">
        <f>IF(H$5&lt;36,0,IF(ISBLANK(F45)=TRUE,35,IF(F45=" ",0,IF(F45="H",0,35))))</f>
        <v>0</v>
      </c>
      <c r="CG55" s="128" t="s">
        <v>129</v>
      </c>
      <c r="CH55" s="129">
        <f>IF(SUM(CH$38:CH54)=0,CI55,0)</f>
        <v>0</v>
      </c>
      <c r="CI55" s="132">
        <f>IF($H$5&lt;36,0,IF(ISBLANK($E45)=TRUE,35,IF($E45="N",0,IF($E45=" ",0,35))))</f>
        <v>0</v>
      </c>
      <c r="CJ55" s="128" t="s">
        <v>454</v>
      </c>
      <c r="CK55" s="128"/>
      <c r="CL55" s="128"/>
      <c r="CM55" s="128"/>
      <c r="CN55" s="128"/>
      <c r="CO55" s="128"/>
      <c r="CP55" s="128"/>
      <c r="CQ55" s="32"/>
      <c r="CW55" s="1" t="s">
        <v>56</v>
      </c>
      <c r="CX55" s="76">
        <f>IF($H$9="FULL",CX54,IF($H$8="3D",DC56,CX54))</f>
        <v>65</v>
      </c>
      <c r="CY55" s="81" t="str">
        <f>IF(AND($H$8="3D",$H$9="FULL"),CY54,IF($H$8="3D",DD56,CY54))</f>
        <v>#4</v>
      </c>
      <c r="CZ55" s="81">
        <f>IF($H$9="FULL",CZ54,IF($H$8="3D",DE56,CZ54))</f>
        <v>6</v>
      </c>
      <c r="DA55" s="72">
        <f>DA54</f>
        <v>1</v>
      </c>
      <c r="DB55" s="22"/>
      <c r="DC55" s="22">
        <f>VLOOKUP(DE7,CX18:DH49,4)</f>
        <v>65</v>
      </c>
      <c r="DD55" s="22" t="str">
        <f>VLOOKUP(DE7,CX18:DH49,6)</f>
        <v>#4</v>
      </c>
      <c r="DE55" s="22">
        <f>VLOOKUP(DE7,CX18:DH49,7)</f>
        <v>6</v>
      </c>
      <c r="DF55" s="22"/>
      <c r="DG55" s="22"/>
      <c r="DH55" s="22"/>
      <c r="DJ55" s="22"/>
      <c r="DR55" s="62" t="s">
        <v>38</v>
      </c>
      <c r="DS55" s="62" t="s">
        <v>38</v>
      </c>
      <c r="DT55" s="62" t="str">
        <f t="shared" si="19"/>
        <v>THHN</v>
      </c>
      <c r="DU55" s="22"/>
      <c r="DV55" s="62" t="s">
        <v>68</v>
      </c>
      <c r="DW55" s="62" t="s">
        <v>68</v>
      </c>
      <c r="DX55" s="62" t="s">
        <v>51</v>
      </c>
      <c r="DY55" s="62" t="s">
        <v>160</v>
      </c>
      <c r="DZ55" s="62" t="s">
        <v>161</v>
      </c>
      <c r="EA55" s="62" t="s">
        <v>162</v>
      </c>
      <c r="EB55" s="62" t="s">
        <v>163</v>
      </c>
      <c r="EC55" s="62" t="s">
        <v>164</v>
      </c>
      <c r="ED55" s="62" t="s">
        <v>165</v>
      </c>
      <c r="EF55" s="48" t="s">
        <v>13</v>
      </c>
      <c r="EG55" s="155" t="str">
        <f>CY6</f>
        <v>AL</v>
      </c>
      <c r="EH55" s="22"/>
      <c r="EI55" s="22" t="s">
        <v>529</v>
      </c>
      <c r="EJ55" s="22"/>
      <c r="EK55" s="22"/>
      <c r="EL55" s="22"/>
      <c r="EM55" s="172" t="s">
        <v>253</v>
      </c>
      <c r="EN55" s="173"/>
      <c r="EO55" s="174"/>
      <c r="EP55" s="176"/>
      <c r="EQ55" s="176"/>
      <c r="ER55" s="176"/>
      <c r="ES55" s="176"/>
      <c r="ET55" s="178">
        <f>IF($EG$59&gt;1,0,$EI$79)</f>
        <v>0.50800000000000001</v>
      </c>
    </row>
    <row r="56" spans="1:150" ht="12" customHeight="1">
      <c r="A56" s="92"/>
      <c r="B56" s="106">
        <v>57</v>
      </c>
      <c r="C56" s="674"/>
      <c r="D56" s="671"/>
      <c r="E56" s="668" t="s">
        <v>12</v>
      </c>
      <c r="F56" s="675" t="s">
        <v>12</v>
      </c>
      <c r="G56" s="670" t="s">
        <v>394</v>
      </c>
      <c r="H56" s="669"/>
      <c r="I56" s="108" t="str">
        <f t="shared" si="11"/>
        <v>L2</v>
      </c>
      <c r="J56" s="669"/>
      <c r="K56" s="670" t="s">
        <v>394</v>
      </c>
      <c r="L56" s="675" t="s">
        <v>12</v>
      </c>
      <c r="M56" s="668" t="s">
        <v>12</v>
      </c>
      <c r="N56" s="671"/>
      <c r="O56" s="672"/>
      <c r="P56" s="106">
        <v>58</v>
      </c>
      <c r="Q56" s="92"/>
      <c r="T56" s="126">
        <f>IF($H$5&gt;56,1,0)</f>
        <v>1</v>
      </c>
      <c r="U56" s="126" t="str">
        <f>IF($H$8=1,"L1","L2")</f>
        <v>L2</v>
      </c>
      <c r="W56" s="133" t="str">
        <f>IF(T56=0,0,IF($H$8=1,(H56+J56)," "))</f>
        <v xml:space="preserve"> </v>
      </c>
      <c r="X56" s="133">
        <f>IF(T56=0,0,IF($H$8=1," ",(H56+J56)))</f>
        <v>0</v>
      </c>
      <c r="Z56" s="133" t="str">
        <f>IF($H$8=1,IF(T56=0,0,IF(G56="G",H56,0))," ")</f>
        <v xml:space="preserve"> </v>
      </c>
      <c r="AA56" s="133" t="str">
        <f>IF($H$8=1,IF(T56=0,0,IF(K56="G",J56,0))," ")</f>
        <v xml:space="preserve"> </v>
      </c>
      <c r="AB56" s="133">
        <f>IF($H$8=1," ",IF(T56=0,0,IF(G56="G",H56,0)))</f>
        <v>0</v>
      </c>
      <c r="AC56" s="133">
        <f>IF($H$8=1," ",IF(T56=0,0,IF(K56="G",J56,0)))</f>
        <v>0</v>
      </c>
      <c r="AF56" s="126" t="str">
        <f>IF($H$8=1,IF(T56=0,0,IF(G56="D",H56,0))," ")</f>
        <v xml:space="preserve"> </v>
      </c>
      <c r="AG56" s="126" t="str">
        <f>IF($H$8=1,IF(T56=0,0,IF(K56="D",J56,0))," ")</f>
        <v xml:space="preserve"> </v>
      </c>
      <c r="AH56" s="126">
        <f>IF($H$8=1," ",IF(T56=0,0,IF(G56="D",H56,0)))</f>
        <v>0</v>
      </c>
      <c r="AI56" s="126">
        <f>IF($H$8=1," ",IF(T56=0,0,IF(K56="D",J56,0)))</f>
        <v>0</v>
      </c>
      <c r="AL56" s="126" t="str">
        <f>IF($H$8=1,IF(T56=0,0,IF(G56="C",H56,0))," ")</f>
        <v xml:space="preserve"> </v>
      </c>
      <c r="AM56" s="126" t="str">
        <f>IF($H$8=1,IF(T56=0,0,IF(K56="C",J56,0))," ")</f>
        <v xml:space="preserve"> </v>
      </c>
      <c r="AN56" s="126">
        <f>IF($H$8=1," ",IF(T56=0,0,IF(G56="C",H56,0)))</f>
        <v>0</v>
      </c>
      <c r="AO56" s="126">
        <f>IF($H$8=1," ",IF(T56=0,0,IF(K56="C",J56,0)))</f>
        <v>0</v>
      </c>
      <c r="AR56" s="133">
        <f t="shared" si="12"/>
        <v>0</v>
      </c>
      <c r="AS56" s="133">
        <f t="shared" si="10"/>
        <v>0</v>
      </c>
      <c r="AT56" s="133" t="str">
        <f>IF(T56=0,0,IF($H$8=1,IF(G56="M",H56,0)," "))</f>
        <v xml:space="preserve"> </v>
      </c>
      <c r="AU56" s="133" t="str">
        <f>IF(T56=0,0,IF($H$8=1,IF(K56="M",J56,0)," "))</f>
        <v xml:space="preserve"> </v>
      </c>
      <c r="AV56" s="133">
        <f>IF(T56=0,0,IF($H$8=1," ",IF(G56="M",H56,0)))</f>
        <v>0</v>
      </c>
      <c r="AW56" s="133">
        <f>IF(T56=0,0,IF($H$8=1," ",IF(K56="M",J56,0)))</f>
        <v>0</v>
      </c>
      <c r="BA56" s="133" t="str">
        <f>IF(T56=0,0,IF($H$8=1,IF(G56="K",H56,0)," "))</f>
        <v xml:space="preserve"> </v>
      </c>
      <c r="BB56" s="133" t="str">
        <f>IF(T56=0,0,IF($H$8=1,IF(K56="K",J56,0)," "))</f>
        <v xml:space="preserve"> </v>
      </c>
      <c r="BC56" s="133">
        <f>IF(T56=0,0,IF($H$8=1," ",IF(G56="K",H56,0)))</f>
        <v>0</v>
      </c>
      <c r="BD56" s="133">
        <f>IF(T56=0,0,IF($H$8=1," ",IF(K56="K",J56,0)))</f>
        <v>0</v>
      </c>
      <c r="BE56" s="133"/>
      <c r="BF56" s="133"/>
      <c r="BK56" s="133">
        <f>IF(T56=0,0,IF(E56="N",H56,0))</f>
        <v>0</v>
      </c>
      <c r="BL56" s="133">
        <f>IF(T56=0,0,IF(M56="N",J56,0))</f>
        <v>0</v>
      </c>
      <c r="BM56" s="133"/>
      <c r="BN56" s="133"/>
      <c r="BO56" s="133"/>
      <c r="BP56" s="133"/>
      <c r="BQ56" s="133">
        <f>IF(T56=0,0,IF(E56="N",H56,0))</f>
        <v>0</v>
      </c>
      <c r="BR56" s="133">
        <f>IF(T56=0,0,IF(M56="N",J56,0))</f>
        <v>0</v>
      </c>
      <c r="BS56" s="133"/>
      <c r="BT56" s="133"/>
      <c r="BU56" s="133"/>
      <c r="BV56" s="133"/>
      <c r="BW56" s="133"/>
      <c r="BY56" s="130"/>
      <c r="BZ56" s="136"/>
      <c r="CA56" s="128">
        <v>37</v>
      </c>
      <c r="CB56" s="129">
        <f>IF(SUM(CB$38:CB55)=0,CC56,0)</f>
        <v>0</v>
      </c>
      <c r="CC56" s="129">
        <f>IF(H$5&lt;38,0,IF(G46="G",0,IF(G46="C",0,IF(G46="M",0,IF(G46="K",0,IF(AND(OR($H$10="FULL",$H$10="AUTO"),G46="D"),0,37))))))</f>
        <v>0</v>
      </c>
      <c r="CD56" s="128" t="str">
        <f>IF($H$10="NONE","ENTER CIRCUIT #37 LOAD IDENTIFIER  ( G, C, M, K )","ENTER CIRCUIT #37 LOAD IDENTIFIER  ( G, D, C, M, K )")</f>
        <v>ENTER CIRCUIT #37 LOAD IDENTIFIER  ( G, D, C, M, K )</v>
      </c>
      <c r="CE56" s="129">
        <f>IF(SUM(CE$38:CE55)=0,CF56,0)</f>
        <v>0</v>
      </c>
      <c r="CF56" s="129">
        <f>IF(H$5&lt;38,0,IF(ISBLANK(F46)=TRUE,37,IF(F46=" ",0,IF(F46="H",0,37))))</f>
        <v>0</v>
      </c>
      <c r="CG56" s="128" t="s">
        <v>131</v>
      </c>
      <c r="CH56" s="129">
        <f>IF(SUM(CH$38:CH55)=0,CI56,0)</f>
        <v>0</v>
      </c>
      <c r="CI56" s="132">
        <f>IF($H$5&lt;38,0,IF(ISBLANK($E46)=TRUE,37,IF($E46="N",0,IF($E46=" ",0,37))))</f>
        <v>0</v>
      </c>
      <c r="CJ56" s="128" t="s">
        <v>455</v>
      </c>
      <c r="CK56" s="128"/>
      <c r="CL56" s="128"/>
      <c r="CM56" s="128"/>
      <c r="CN56" s="128"/>
      <c r="CO56" s="128"/>
      <c r="CP56" s="128"/>
      <c r="CQ56" s="32"/>
      <c r="CW56" s="1" t="s">
        <v>485</v>
      </c>
      <c r="CX56" s="76">
        <f>IF($H$10="NONE",0,IF($H$10="FULL",CX54,DC60))</f>
        <v>65</v>
      </c>
      <c r="CY56" s="81" t="str">
        <f>IF($H$10="NONE","NONE",IF($H$10="FULL",CY54,DD60))</f>
        <v>#4</v>
      </c>
      <c r="CZ56" s="81">
        <f>IF($H$10="NONE",0,IF($H$10="FULL",CZ54,DE60))</f>
        <v>6</v>
      </c>
      <c r="DA56" s="72">
        <f>DA54</f>
        <v>1</v>
      </c>
      <c r="DB56" s="22"/>
      <c r="DC56" s="22">
        <f>IF(AND(DE55&lt;10,DA54&gt;1),DA23,DC55)*DA54</f>
        <v>65</v>
      </c>
      <c r="DD56" s="22" t="str">
        <f>IF(AND(DE55&lt;10,DA54&gt;1),DC23,DD55)</f>
        <v>#4</v>
      </c>
      <c r="DE56" s="22">
        <f>IF(AND(DE55&lt;10,DA54&gt;1),10,DE55)</f>
        <v>6</v>
      </c>
      <c r="DF56" s="22"/>
      <c r="DG56" s="22"/>
      <c r="DH56" s="22"/>
      <c r="DJ56" s="22"/>
      <c r="DR56" s="62" t="s">
        <v>74</v>
      </c>
      <c r="DS56" s="62" t="s">
        <v>7</v>
      </c>
      <c r="DT56" s="62" t="str">
        <f t="shared" si="19"/>
        <v>SIZE</v>
      </c>
      <c r="DU56" s="22"/>
      <c r="DV56" s="62" t="s">
        <v>38</v>
      </c>
      <c r="DW56" s="62" t="s">
        <v>38</v>
      </c>
      <c r="DX56" s="62" t="s">
        <v>38</v>
      </c>
      <c r="DY56" s="62" t="s">
        <v>38</v>
      </c>
      <c r="DZ56" s="62" t="s">
        <v>38</v>
      </c>
      <c r="EA56" s="62" t="s">
        <v>38</v>
      </c>
      <c r="EB56" s="62" t="s">
        <v>38</v>
      </c>
      <c r="EC56" s="62" t="s">
        <v>38</v>
      </c>
      <c r="ED56" s="62" t="s">
        <v>38</v>
      </c>
      <c r="EF56" s="78" t="s">
        <v>105</v>
      </c>
      <c r="EG56" s="191">
        <f>H16</f>
        <v>10</v>
      </c>
      <c r="EH56" s="22"/>
      <c r="EI56" s="22"/>
      <c r="EJ56" s="22"/>
      <c r="EK56" s="22"/>
      <c r="EL56" s="22"/>
      <c r="EM56" s="179"/>
      <c r="EN56" s="180"/>
      <c r="EO56" s="180"/>
      <c r="EP56" s="181"/>
      <c r="EQ56" s="181"/>
      <c r="ER56" s="181"/>
      <c r="ES56" s="181"/>
      <c r="ET56" s="182"/>
    </row>
    <row r="57" spans="1:150" ht="12" customHeight="1">
      <c r="A57" s="92"/>
      <c r="B57" s="106">
        <v>59</v>
      </c>
      <c r="C57" s="674"/>
      <c r="D57" s="671"/>
      <c r="E57" s="668" t="s">
        <v>12</v>
      </c>
      <c r="F57" s="675" t="s">
        <v>12</v>
      </c>
      <c r="G57" s="670" t="s">
        <v>394</v>
      </c>
      <c r="H57" s="669"/>
      <c r="I57" s="108" t="str">
        <f t="shared" si="11"/>
        <v>L3</v>
      </c>
      <c r="J57" s="669"/>
      <c r="K57" s="670" t="s">
        <v>394</v>
      </c>
      <c r="L57" s="675" t="s">
        <v>12</v>
      </c>
      <c r="M57" s="668" t="s">
        <v>12</v>
      </c>
      <c r="N57" s="671"/>
      <c r="O57" s="672"/>
      <c r="P57" s="106">
        <v>60</v>
      </c>
      <c r="Q57" s="92"/>
      <c r="T57" s="126">
        <f>IF($H$5&gt;58,1,0)</f>
        <v>1</v>
      </c>
      <c r="U57" s="126" t="str">
        <f>IF($H$8=1,"L2","L3")</f>
        <v>L3</v>
      </c>
      <c r="X57" s="133" t="str">
        <f>IF(T57=0,0,IF($H$8=1,(H57+J57)," "))</f>
        <v xml:space="preserve"> </v>
      </c>
      <c r="Y57" s="133">
        <f>IF(T57=0,0,IF($H$8=1," ",(H57+J57)))</f>
        <v>0</v>
      </c>
      <c r="AB57" s="133" t="str">
        <f>IF($H$8=1,IF(T57=0,0,IF(G57="G",H57,0))," ")</f>
        <v xml:space="preserve"> </v>
      </c>
      <c r="AC57" s="133" t="str">
        <f>IF($H$8=1,IF(T57=0,0,IF(K57="G",J57,0))," ")</f>
        <v xml:space="preserve"> </v>
      </c>
      <c r="AD57" s="133">
        <f>IF($H$8=1," ",IF(T57=0,0,IF(G57="G",H57,0)))</f>
        <v>0</v>
      </c>
      <c r="AE57" s="133">
        <f>IF($H$8=1," ",IF(T57=0,0,IF(K57="G",J57,0)))</f>
        <v>0</v>
      </c>
      <c r="AH57" s="126" t="str">
        <f>IF($H$8=1,IF(T57=0,0,IF(G57="D",H57,0))," ")</f>
        <v xml:space="preserve"> </v>
      </c>
      <c r="AI57" s="126" t="str">
        <f>IF($H$8=1,IF(T57=0,0,IF(K57="D",J57,0))," ")</f>
        <v xml:space="preserve"> </v>
      </c>
      <c r="AJ57" s="126">
        <f>IF($H$8=1," ",IF(T57=0,0,IF(G57="D",H57,0)))</f>
        <v>0</v>
      </c>
      <c r="AK57" s="126">
        <f>IF($H$8=1," ",IF(T57=0,0,IF(K57="D",J57,0)))</f>
        <v>0</v>
      </c>
      <c r="AN57" s="126" t="str">
        <f>IF($H$8=1,IF(T57=0,0,IF(G57="C",H57,0))," ")</f>
        <v xml:space="preserve"> </v>
      </c>
      <c r="AO57" s="126" t="str">
        <f>IF($H$8=1,IF(T57=0,0,IF(K57="C",J57,0))," ")</f>
        <v xml:space="preserve"> </v>
      </c>
      <c r="AP57" s="126">
        <f>IF($H$8=1," ",IF(T57=0,0,IF(G57="C",H57,0)))</f>
        <v>0</v>
      </c>
      <c r="AQ57" s="126">
        <f>IF($H$8=1," ",IF(T57=0,0,IF(K57="C",J57,0)))</f>
        <v>0</v>
      </c>
      <c r="AR57" s="133">
        <f t="shared" si="12"/>
        <v>0</v>
      </c>
      <c r="AS57" s="133">
        <f t="shared" si="10"/>
        <v>0</v>
      </c>
      <c r="AV57" s="133" t="str">
        <f>IF(T57=0,0,IF($H$8=1,IF(G57="M",H57,0)," "))</f>
        <v xml:space="preserve"> </v>
      </c>
      <c r="AW57" s="133" t="str">
        <f>IF(T57=0,0,IF($H$8=1,IF(K57="M",J57,0)," "))</f>
        <v xml:space="preserve"> </v>
      </c>
      <c r="AX57" s="133">
        <f>IF(T57=0,0,IF($H$8=1," ",IF(G57="M",H57,0)))</f>
        <v>0</v>
      </c>
      <c r="AY57" s="133">
        <f>IF(T57=0,0,IF($H$8=1," ",IF(K57="M",J57,0)))</f>
        <v>0</v>
      </c>
      <c r="BA57" s="133"/>
      <c r="BB57" s="133"/>
      <c r="BC57" s="133" t="str">
        <f>IF(T57=0,0,IF($H$8=1,IF(G57="K",H57,0)," "))</f>
        <v xml:space="preserve"> </v>
      </c>
      <c r="BD57" s="133" t="str">
        <f>IF(T57=0,0,IF($H$8=1,IF(K57="K",J57,0)," "))</f>
        <v xml:space="preserve"> </v>
      </c>
      <c r="BE57" s="133">
        <f>IF(T57=0,0,IF($H$8=1," ",IF(G57="K",H57,0)))</f>
        <v>0</v>
      </c>
      <c r="BF57" s="133">
        <f>IF(T57=0,0,IF($H$8=1," ",IF(K57="K",J57,0)))</f>
        <v>0</v>
      </c>
      <c r="BG57" s="126"/>
      <c r="BI57" s="133">
        <f>IF(T57=0,0,IF(E57="N",H57,0))</f>
        <v>0</v>
      </c>
      <c r="BJ57" s="133">
        <f>IF(T57=0,0,IF(M57="N",J57,0))</f>
        <v>0</v>
      </c>
      <c r="BK57" s="133"/>
      <c r="BL57" s="133"/>
      <c r="BM57" s="133">
        <f>IF(T57=0,0,IF(E57="N",H57,0))</f>
        <v>0</v>
      </c>
      <c r="BN57" s="133">
        <f>IF(T57=0,0,IF(M57="N",J57,0))</f>
        <v>0</v>
      </c>
      <c r="BO57" s="133"/>
      <c r="BP57" s="133"/>
      <c r="BQ57" s="133"/>
      <c r="BR57" s="133"/>
      <c r="BS57" s="133">
        <f>IF(T57=0,0,IF(E57="N",H57,0))</f>
        <v>0</v>
      </c>
      <c r="BT57" s="133">
        <f>IF(T57=0,0,IF(M57="N",J57,0))</f>
        <v>0</v>
      </c>
      <c r="BU57" s="133"/>
      <c r="BV57" s="133"/>
      <c r="BW57" s="133"/>
      <c r="BY57" s="130"/>
      <c r="BZ57" s="136"/>
      <c r="CA57" s="128">
        <v>39</v>
      </c>
      <c r="CB57" s="129">
        <f>IF(SUM(CB$38:CB56)=0,CC57,0)</f>
        <v>0</v>
      </c>
      <c r="CC57" s="129">
        <f>IF(H$5&lt;40,0,IF(G47="G",0,IF(G47="C",0,IF(G47="M",0,IF(G47="K",0,IF(AND(OR($H$10="FULL",$H$10="AUTO"),OR($H$8=1,$H$8="3Y"),G47="D"),0,39))))))</f>
        <v>0</v>
      </c>
      <c r="CD57" s="128" t="str">
        <f>IF($H$10="NONE","ENTER CIRCUIT #39 LOAD IDENTIFIER  ( G, C, M, K )",IF($H$8="3D","ENTER CIRCUIT #39 LOAD IDENTIFIER  ( G, C, M, K )","ENTER CIRCUIT #39 LOAD IDENTIFIER  ( G, D, C, M, K )"))</f>
        <v>ENTER CIRCUIT #39 LOAD IDENTIFIER  ( G, D, C, M, K )</v>
      </c>
      <c r="CE57" s="129">
        <f>IF(SUM(CE$38:CE56)=0,CF57,0)</f>
        <v>0</v>
      </c>
      <c r="CF57" s="129">
        <f>IF(H$5&lt;40,0,IF(ISBLANK(F47)=TRUE,39,IF(F47=" ",0,IF(F47="H",0,39))))</f>
        <v>0</v>
      </c>
      <c r="CG57" s="128" t="s">
        <v>132</v>
      </c>
      <c r="CH57" s="129">
        <f>IF(SUM(CH$38:CH56)=0,CI57,0)</f>
        <v>0</v>
      </c>
      <c r="CI57" s="132">
        <f>IF($H$5&lt;40,0,IF(ISBLANK($E47)=TRUE,39,IF($E47=" ",0,IF(AND($H$8&lt;&gt;"3D",$E47="N"),0,39))))</f>
        <v>0</v>
      </c>
      <c r="CJ57" s="128" t="str">
        <f>IF($H$8&lt;&gt;"3D","ENTER CIRCUIT #39 NEUTRAL IDENTIFIER  ( N or SPACE )","ENTER CIRCUIT #39 NEUTRAL IDENTIFIER  ( SPACE )")</f>
        <v>ENTER CIRCUIT #39 NEUTRAL IDENTIFIER  ( N or SPACE )</v>
      </c>
      <c r="CK57" s="128"/>
      <c r="CL57" s="128"/>
      <c r="CM57" s="128"/>
      <c r="CN57" s="128"/>
      <c r="CO57" s="128"/>
      <c r="CP57" s="128"/>
      <c r="CQ57" s="3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J57" s="22"/>
      <c r="DR57" s="62"/>
      <c r="DS57" s="62"/>
      <c r="DT57" s="57" t="str">
        <f t="shared" si="19"/>
        <v>SQ IN</v>
      </c>
      <c r="DU57" s="22"/>
      <c r="DV57" s="62" t="s">
        <v>74</v>
      </c>
      <c r="DW57" s="62" t="s">
        <v>7</v>
      </c>
      <c r="DX57" s="62" t="s">
        <v>59</v>
      </c>
      <c r="DY57" s="62" t="s">
        <v>59</v>
      </c>
      <c r="DZ57" s="62" t="s">
        <v>59</v>
      </c>
      <c r="EA57" s="62" t="s">
        <v>59</v>
      </c>
      <c r="EB57" s="62" t="s">
        <v>59</v>
      </c>
      <c r="EC57" s="62" t="s">
        <v>59</v>
      </c>
      <c r="ED57" s="62" t="s">
        <v>59</v>
      </c>
      <c r="EF57" s="78" t="s">
        <v>108</v>
      </c>
      <c r="EG57" s="289">
        <f>MAX(Calcs!F27:J27)</f>
        <v>57.9</v>
      </c>
      <c r="EH57" s="293">
        <f>ROUND(MAX(Calcs!F27:M27),1)</f>
        <v>57.9</v>
      </c>
      <c r="EI57" s="293">
        <f>ROUND(Calcs!I27,1)</f>
        <v>57.9</v>
      </c>
      <c r="EJ57" s="293">
        <f>ROUND(MAX(Calcs!F27:M27),1)</f>
        <v>57.9</v>
      </c>
      <c r="EK57" s="22"/>
      <c r="EL57" s="22"/>
      <c r="EM57" s="183" t="s">
        <v>254</v>
      </c>
      <c r="EN57" s="184"/>
      <c r="EO57" s="184"/>
      <c r="EP57" s="185"/>
      <c r="EQ57" s="185"/>
      <c r="ER57" s="185"/>
      <c r="ES57" s="185"/>
      <c r="ET57" s="186">
        <f>ROUND(MAX(ET53:ET55),4)</f>
        <v>0.50800000000000001</v>
      </c>
    </row>
    <row r="58" spans="1:150" ht="12" customHeight="1">
      <c r="A58" s="92"/>
      <c r="B58" s="106">
        <v>61</v>
      </c>
      <c r="C58" s="674"/>
      <c r="D58" s="671"/>
      <c r="E58" s="668" t="s">
        <v>12</v>
      </c>
      <c r="F58" s="675" t="s">
        <v>12</v>
      </c>
      <c r="G58" s="670" t="s">
        <v>394</v>
      </c>
      <c r="H58" s="669"/>
      <c r="I58" s="108" t="str">
        <f t="shared" si="11"/>
        <v>L1</v>
      </c>
      <c r="J58" s="669"/>
      <c r="K58" s="670" t="s">
        <v>394</v>
      </c>
      <c r="L58" s="675" t="s">
        <v>12</v>
      </c>
      <c r="M58" s="668" t="s">
        <v>12</v>
      </c>
      <c r="N58" s="671"/>
      <c r="O58" s="672"/>
      <c r="P58" s="106">
        <v>62</v>
      </c>
      <c r="Q58" s="92"/>
      <c r="T58" s="126">
        <f>IF($H$5&gt;60,1,0)</f>
        <v>1</v>
      </c>
      <c r="U58" s="126" t="str">
        <f>IF($H$8=1,"L1","L1")</f>
        <v>L1</v>
      </c>
      <c r="W58" s="133">
        <f>IF(T58=0,0,(H58+J58))</f>
        <v>0</v>
      </c>
      <c r="Z58" s="133">
        <f>IF(T58=0,0,IF(G58="G",H58,0))</f>
        <v>0</v>
      </c>
      <c r="AA58" s="133">
        <f>IF(T58=0,0,IF(K58="G",J58,0))</f>
        <v>0</v>
      </c>
      <c r="AF58" s="126">
        <f>IF(T58=0,0,IF(G58="D",H58,0))</f>
        <v>0</v>
      </c>
      <c r="AG58" s="126">
        <f>IF(T58=0,0,IF(K58="D",J58,0))</f>
        <v>0</v>
      </c>
      <c r="AL58" s="126">
        <f>IF(T58=0,0,IF(G58="C",H58,0))</f>
        <v>0</v>
      </c>
      <c r="AM58" s="126">
        <f>IF(T58=0,0,IF(K58="C",J58,0))</f>
        <v>0</v>
      </c>
      <c r="AR58" s="133">
        <f t="shared" si="12"/>
        <v>0</v>
      </c>
      <c r="AS58" s="133">
        <f t="shared" si="10"/>
        <v>0</v>
      </c>
      <c r="AT58" s="133">
        <f>IF(T58=0,0,IF(G58="M",H58,0))</f>
        <v>0</v>
      </c>
      <c r="AU58" s="133">
        <f>IF(T58=0,0,IF(K58="M",J58,0))</f>
        <v>0</v>
      </c>
      <c r="BA58" s="133">
        <f>IF(T58=0,0,IF(G58="K",H58,0))</f>
        <v>0</v>
      </c>
      <c r="BB58" s="133">
        <f>IF(T58=0,0,IF(K58="K",J58,0))</f>
        <v>0</v>
      </c>
      <c r="BC58" s="133"/>
      <c r="BD58" s="133"/>
      <c r="BE58" s="133"/>
      <c r="BF58" s="133"/>
      <c r="BG58" s="126">
        <f>IF(T58=0,0,IF(E58="N",H58,0))</f>
        <v>0</v>
      </c>
      <c r="BH58" s="133">
        <f>IF(T58=0,0,IF(M58="N",J58,0))</f>
        <v>0</v>
      </c>
      <c r="BK58" s="133">
        <f>IF(T58=0,0,IF(E58="N",H58,0))</f>
        <v>0</v>
      </c>
      <c r="BL58" s="133">
        <f>IF(T58=0,0,IF(M58="N",J58,0))</f>
        <v>0</v>
      </c>
      <c r="BM58" s="133"/>
      <c r="BN58" s="133"/>
      <c r="BO58" s="133">
        <f>IF(T58=0,0,IF(E58="N",H58,0))</f>
        <v>0</v>
      </c>
      <c r="BP58" s="133">
        <f>IF(T58=0,0,IF(M58="N",J58,0))</f>
        <v>0</v>
      </c>
      <c r="BQ58" s="133"/>
      <c r="BR58" s="133"/>
      <c r="BS58" s="133"/>
      <c r="BT58" s="133"/>
      <c r="BU58" s="133"/>
      <c r="BV58" s="133"/>
      <c r="BW58" s="133"/>
      <c r="BY58" s="130"/>
      <c r="BZ58" s="136"/>
      <c r="CA58" s="128">
        <v>41</v>
      </c>
      <c r="CB58" s="129">
        <f>IF(SUM(CB$38:CB57)=0,CC58,0)</f>
        <v>0</v>
      </c>
      <c r="CC58" s="129">
        <f>IF(H$5&lt;42,0,IF(G48="G",0,IF(G48="C",0,IF(G48="M",0,IF(G48="K",0,IF(AND(OR($H$10="FULL",$H$10="AUTO"),G48="D"),0,41))))))</f>
        <v>0</v>
      </c>
      <c r="CD58" s="128" t="str">
        <f>IF($H$10="NONE","ENTER CIRCUIT #41 LOAD IDENTIFIER  ( G, C, M, K )","ENTER CIRCUIT #41 LOAD IDENTIFIER  ( G, D, C, M, K )")</f>
        <v>ENTER CIRCUIT #41 LOAD IDENTIFIER  ( G, D, C, M, K )</v>
      </c>
      <c r="CE58" s="129">
        <f>IF(SUM(CE$38:CE57)=0,CF58,0)</f>
        <v>0</v>
      </c>
      <c r="CF58" s="129">
        <f>IF(H$5&lt;42,0,IF(ISBLANK(F48)=TRUE,41,IF(F48=" ",0,IF(F48="H",0,41))))</f>
        <v>0</v>
      </c>
      <c r="CG58" s="128" t="s">
        <v>133</v>
      </c>
      <c r="CH58" s="129">
        <f>IF(SUM(CH$38:CH57)=0,CI58,0)</f>
        <v>0</v>
      </c>
      <c r="CI58" s="132">
        <f>IF($H$5&lt;42,0,IF(ISBLANK($E48)=TRUE,41,IF($E48="N",0,IF($E48=" ",0,41))))</f>
        <v>0</v>
      </c>
      <c r="CJ58" s="128" t="s">
        <v>456</v>
      </c>
      <c r="CK58" s="128"/>
      <c r="CL58" s="128"/>
      <c r="CM58" s="128"/>
      <c r="CN58" s="128"/>
      <c r="CO58" s="128"/>
      <c r="CP58" s="128"/>
      <c r="CQ58" s="32"/>
      <c r="CX58" s="22"/>
      <c r="CY58" s="22"/>
      <c r="CZ58" s="22"/>
      <c r="DA58" s="22"/>
      <c r="DB58" s="22"/>
      <c r="DC58" s="22" t="s">
        <v>471</v>
      </c>
      <c r="DD58" s="22"/>
      <c r="DE58" s="22"/>
      <c r="DF58" s="22"/>
      <c r="DG58" s="22"/>
      <c r="DH58" s="22"/>
      <c r="DJ58" s="22"/>
      <c r="DR58" s="58" t="s">
        <v>169</v>
      </c>
      <c r="DS58" s="58">
        <v>3</v>
      </c>
      <c r="DT58" s="58">
        <f t="shared" si="19"/>
        <v>2.1100000000000001E-2</v>
      </c>
      <c r="DU58" s="22"/>
      <c r="DV58" s="58" t="s">
        <v>169</v>
      </c>
      <c r="DW58" s="58">
        <v>3</v>
      </c>
      <c r="DX58" s="82">
        <v>3.3300000000000003E-2</v>
      </c>
      <c r="DY58" s="82">
        <v>3.3300000000000003E-2</v>
      </c>
      <c r="DZ58" s="82">
        <v>2.1100000000000001E-2</v>
      </c>
      <c r="EA58" s="82">
        <v>2.4299999999999999E-2</v>
      </c>
      <c r="EB58" s="82">
        <v>5.0999999999999997E-2</v>
      </c>
      <c r="EC58" s="82">
        <v>5.0999999999999997E-2</v>
      </c>
      <c r="ED58" s="82">
        <v>3.9399999999999998E-2</v>
      </c>
      <c r="EF58" s="78" t="s">
        <v>170</v>
      </c>
      <c r="EG58" s="187">
        <f>H6</f>
        <v>240</v>
      </c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</row>
    <row r="59" spans="1:150" ht="12" customHeight="1">
      <c r="A59" s="92"/>
      <c r="B59" s="106">
        <v>63</v>
      </c>
      <c r="C59" s="674"/>
      <c r="D59" s="671"/>
      <c r="E59" s="668" t="s">
        <v>12</v>
      </c>
      <c r="F59" s="675" t="s">
        <v>12</v>
      </c>
      <c r="G59" s="670" t="s">
        <v>394</v>
      </c>
      <c r="H59" s="669"/>
      <c r="I59" s="108" t="str">
        <f t="shared" si="11"/>
        <v>L2</v>
      </c>
      <c r="J59" s="669"/>
      <c r="K59" s="670" t="s">
        <v>394</v>
      </c>
      <c r="L59" s="675" t="s">
        <v>12</v>
      </c>
      <c r="M59" s="668" t="s">
        <v>12</v>
      </c>
      <c r="N59" s="671"/>
      <c r="O59" s="672"/>
      <c r="P59" s="106">
        <v>64</v>
      </c>
      <c r="Q59" s="92"/>
      <c r="T59" s="126">
        <f>IF($H$5&gt;62,1,0)</f>
        <v>1</v>
      </c>
      <c r="U59" s="126" t="str">
        <f>IF($H$8=1,"L2","L2")</f>
        <v>L2</v>
      </c>
      <c r="X59" s="133">
        <f>IF(T59=0,0,(H59+J59))</f>
        <v>0</v>
      </c>
      <c r="AB59" s="133">
        <f>IF(T59=0,0,IF(G59="G",H59,0))</f>
        <v>0</v>
      </c>
      <c r="AC59" s="133">
        <f>IF(T59=0,0,IF(K59="G",J59,0))</f>
        <v>0</v>
      </c>
      <c r="AH59" s="126">
        <f>IF(T59=0,0,IF(G59="D",H59,0))</f>
        <v>0</v>
      </c>
      <c r="AI59" s="126">
        <f>IF(T59=0,0,IF(K59="D",J59,0))</f>
        <v>0</v>
      </c>
      <c r="AN59" s="126">
        <f>IF(T59=0,0,IF(G59="C",H59,0))</f>
        <v>0</v>
      </c>
      <c r="AO59" s="126">
        <f>IF(T59=0,0,IF(K59="C",J59,0))</f>
        <v>0</v>
      </c>
      <c r="AR59" s="133">
        <f t="shared" si="12"/>
        <v>0</v>
      </c>
      <c r="AS59" s="133">
        <f t="shared" si="10"/>
        <v>0</v>
      </c>
      <c r="AV59" s="133">
        <f>IF(T59=0,0,IF(G59="M",H59,0))</f>
        <v>0</v>
      </c>
      <c r="AW59" s="133">
        <f>IF(T59=0,0,IF(K59="M",J59,0))</f>
        <v>0</v>
      </c>
      <c r="BA59" s="133"/>
      <c r="BB59" s="133"/>
      <c r="BC59" s="133">
        <f>IF(T59=0,0,IF(G59="K",H59,0))</f>
        <v>0</v>
      </c>
      <c r="BD59" s="133">
        <f>IF(T59=0,0,IF(K59="K",J59,0))</f>
        <v>0</v>
      </c>
      <c r="BE59" s="133"/>
      <c r="BF59" s="133"/>
      <c r="BK59" s="133"/>
      <c r="BL59" s="133"/>
      <c r="BM59" s="133">
        <f>IF(T59=0,0,IF(E59="N",H59,0))</f>
        <v>0</v>
      </c>
      <c r="BN59" s="133">
        <f>IF(T59=0,0,IF(M59="N",J59,0))</f>
        <v>0</v>
      </c>
      <c r="BO59" s="133"/>
      <c r="BP59" s="133"/>
      <c r="BQ59" s="133">
        <f>IF(T59=0,0,IF(E59="N",H59,0))</f>
        <v>0</v>
      </c>
      <c r="BR59" s="133">
        <f>IF(T59=0,0,IF(M59="N",J59,0))</f>
        <v>0</v>
      </c>
      <c r="BS59" s="133"/>
      <c r="BT59" s="133"/>
      <c r="BU59" s="133"/>
      <c r="BV59" s="133"/>
      <c r="BW59" s="133"/>
      <c r="BY59" s="130"/>
      <c r="BZ59" s="136"/>
      <c r="CA59" s="128">
        <f>CA58+2</f>
        <v>43</v>
      </c>
      <c r="CB59" s="129">
        <f>IF(SUM(CB$38:CB58)=0,CC59,0)</f>
        <v>0</v>
      </c>
      <c r="CC59" s="129">
        <f>IF(H$5&lt;44,0,IF(G49="G",0,IF(G49="C",0,IF(G49="M",0,IF(G49="K",0,IF(AND(OR($H$10="FULL",$H$10="AUTO"),G49="D"),0,43))))))</f>
        <v>0</v>
      </c>
      <c r="CD59" s="128" t="str">
        <f>IF($H$10="NONE","ENTER CIRCUIT #43 LOAD IDENTIFIER  ( G, C, M, K )","ENTER CIRCUIT #43 LOAD IDENTIFIER  ( G, D, C, M, K )")</f>
        <v>ENTER CIRCUIT #43 LOAD IDENTIFIER  ( G, D, C, M, K )</v>
      </c>
      <c r="CE59" s="129">
        <f>IF(SUM(CE$38:CE58)=0,CF59,0)</f>
        <v>0</v>
      </c>
      <c r="CF59" s="129">
        <f>IF(H$5&lt;44,0,IF(ISBLANK(F49)=TRUE,43,IF(F49=" ",0,IF(F49="H",0,43))))</f>
        <v>0</v>
      </c>
      <c r="CG59" s="128" t="s">
        <v>318</v>
      </c>
      <c r="CH59" s="129">
        <f>IF(SUM(CH$38:CH58)=0,CI59,0)</f>
        <v>0</v>
      </c>
      <c r="CI59" s="132">
        <f>IF($H$5&lt;44,0,IF(ISBLANK($E49)=TRUE,43,IF($E49="N",0,IF($E49=" ",0,43))))</f>
        <v>0</v>
      </c>
      <c r="CJ59" s="128" t="s">
        <v>457</v>
      </c>
      <c r="CK59" s="128"/>
      <c r="CL59" s="128"/>
      <c r="CM59" s="128"/>
      <c r="CN59" s="128"/>
      <c r="CO59" s="128"/>
      <c r="CP59" s="128"/>
      <c r="CQ59" s="32"/>
      <c r="CX59" s="45" t="s">
        <v>172</v>
      </c>
      <c r="CY59" s="45"/>
      <c r="CZ59" s="22"/>
      <c r="DA59" s="22"/>
      <c r="DB59" s="22"/>
      <c r="DC59" s="22">
        <f>VLOOKUP(DE10,CX18:DH49,4)</f>
        <v>50</v>
      </c>
      <c r="DD59" s="22" t="str">
        <f>VLOOKUP(DE10,CX18:DH49,6)</f>
        <v>#6</v>
      </c>
      <c r="DE59" s="22">
        <f>VLOOKUP(DE10,CX18:DH49,7)</f>
        <v>5</v>
      </c>
      <c r="DF59" s="22"/>
      <c r="DG59" s="22"/>
      <c r="DH59" s="22"/>
      <c r="DJ59" s="22"/>
      <c r="DR59" s="62" t="s">
        <v>173</v>
      </c>
      <c r="DS59" s="62">
        <v>4</v>
      </c>
      <c r="DT59" s="58">
        <f t="shared" si="19"/>
        <v>3.6600000000000001E-2</v>
      </c>
      <c r="DU59" s="22"/>
      <c r="DV59" s="62" t="s">
        <v>173</v>
      </c>
      <c r="DW59" s="62">
        <v>4</v>
      </c>
      <c r="DX59" s="63">
        <v>5.5599999999999997E-2</v>
      </c>
      <c r="DY59" s="63">
        <v>5.5599999999999997E-2</v>
      </c>
      <c r="DZ59" s="63">
        <v>3.6600000000000001E-2</v>
      </c>
      <c r="EA59" s="63">
        <v>4.3700000000000003E-2</v>
      </c>
      <c r="EB59" s="63">
        <v>5.0999999999999997E-2</v>
      </c>
      <c r="EC59" s="63">
        <v>5.0999999999999997E-2</v>
      </c>
      <c r="ED59" s="63">
        <v>3.9399999999999998E-2</v>
      </c>
      <c r="EF59" s="78" t="s">
        <v>19</v>
      </c>
      <c r="EG59" s="50">
        <f>DA54</f>
        <v>1</v>
      </c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</row>
    <row r="60" spans="1:150" ht="12" customHeight="1">
      <c r="A60" s="92"/>
      <c r="B60" s="106">
        <v>65</v>
      </c>
      <c r="C60" s="674"/>
      <c r="D60" s="671"/>
      <c r="E60" s="668" t="s">
        <v>12</v>
      </c>
      <c r="F60" s="675" t="s">
        <v>12</v>
      </c>
      <c r="G60" s="670" t="s">
        <v>394</v>
      </c>
      <c r="H60" s="669"/>
      <c r="I60" s="108" t="str">
        <f t="shared" si="11"/>
        <v>L3</v>
      </c>
      <c r="J60" s="669"/>
      <c r="K60" s="670" t="s">
        <v>394</v>
      </c>
      <c r="L60" s="675" t="s">
        <v>12</v>
      </c>
      <c r="M60" s="668" t="s">
        <v>12</v>
      </c>
      <c r="N60" s="671"/>
      <c r="O60" s="672"/>
      <c r="P60" s="106">
        <v>66</v>
      </c>
      <c r="Q60" s="92"/>
      <c r="T60" s="126">
        <f>IF($H$5&gt;64,1,0)</f>
        <v>1</v>
      </c>
      <c r="U60" s="126" t="str">
        <f>IF($H$8=1,"L1","L3")</f>
        <v>L3</v>
      </c>
      <c r="W60" s="133" t="str">
        <f>IF(T60=0,0,IF($H$8=1,(H60+J60)," "))</f>
        <v xml:space="preserve"> </v>
      </c>
      <c r="Y60" s="133">
        <f>IF(T60=0,0,IF($H$8=1," ",(H60+J60)))</f>
        <v>0</v>
      </c>
      <c r="Z60" s="133" t="str">
        <f>IF($H$8=1,IF(T60=0,0,IF(G60="G",H60,0))," ")</f>
        <v xml:space="preserve"> </v>
      </c>
      <c r="AA60" s="133" t="str">
        <f>IF($H$8=1,IF(T60=0,0,IF(K60="G",J60,0))," ")</f>
        <v xml:space="preserve"> </v>
      </c>
      <c r="AD60" s="133">
        <f>IF($H$8=1," ",IF(T60=0,0,IF(G60="G",H60,0)))</f>
        <v>0</v>
      </c>
      <c r="AE60" s="133">
        <f>IF($H$8=1," ",IF(T60=0,0,IF(K60="G",J60,0)))</f>
        <v>0</v>
      </c>
      <c r="AF60" s="126" t="str">
        <f>IF($H$8=1,IF(T60=0,0,IF(G60="D",H60,0))," ")</f>
        <v xml:space="preserve"> </v>
      </c>
      <c r="AG60" s="126" t="str">
        <f>IF($H$8=1,IF(T60=0,0,IF(K60="D",J60,0))," ")</f>
        <v xml:space="preserve"> </v>
      </c>
      <c r="AJ60" s="126">
        <f>IF($H$8=1," ",IF(T60=0,0,IF(G60="D",H60,0)))</f>
        <v>0</v>
      </c>
      <c r="AK60" s="126">
        <f>IF($H$8=1," ",IF(T60=0,0,IF(K60="D",J60,0)))</f>
        <v>0</v>
      </c>
      <c r="AL60" s="126" t="str">
        <f>IF($H$8=1,IF(T60=0,0,IF(G60="C",H60,0))," ")</f>
        <v xml:space="preserve"> </v>
      </c>
      <c r="AM60" s="126" t="str">
        <f>IF($H$8=1,IF(T60=0,0,IF(K60="C",J60,0))," ")</f>
        <v xml:space="preserve"> </v>
      </c>
      <c r="AP60" s="126">
        <f>IF($H$8=1," ",IF(T60=0,0,IF(G60="C",H60,0)))</f>
        <v>0</v>
      </c>
      <c r="AQ60" s="126">
        <f>IF($H$8=1," ",IF(T60=0,0,IF(K60="C",J60,0)))</f>
        <v>0</v>
      </c>
      <c r="AR60" s="133">
        <f t="shared" si="12"/>
        <v>0</v>
      </c>
      <c r="AS60" s="133">
        <f t="shared" si="10"/>
        <v>0</v>
      </c>
      <c r="AT60" s="133" t="str">
        <f>IF(T60=0,0,IF($H$8=1,IF(G60="M",H60,0)," "))</f>
        <v xml:space="preserve"> </v>
      </c>
      <c r="AU60" s="133" t="str">
        <f>IF(T60=0,0,IF($H$8=1,IF(K60="M",J60,0)," "))</f>
        <v xml:space="preserve"> </v>
      </c>
      <c r="AX60" s="133">
        <f>IF(T60=0,0,IF($H$8=1," ",IF(G60="M",H60,0)))</f>
        <v>0</v>
      </c>
      <c r="AY60" s="133">
        <f>IF(T60=0,0,IF($H$8=1," ",IF(K60="M",J60,0)))</f>
        <v>0</v>
      </c>
      <c r="BA60" s="133" t="str">
        <f>IF(T60=0,0,IF($H$8=1,IF(G60="K",H60,0)," "))</f>
        <v xml:space="preserve"> </v>
      </c>
      <c r="BB60" s="133" t="str">
        <f>IF(T60=0,0,IF($H$8=1,IF(K60="K",J60,0)," "))</f>
        <v xml:space="preserve"> </v>
      </c>
      <c r="BC60" s="133"/>
      <c r="BD60" s="133"/>
      <c r="BE60" s="133">
        <f>IF(T60=0,0,IF($H$8=1," ",IF(G60="K",H60,0)))</f>
        <v>0</v>
      </c>
      <c r="BF60" s="133">
        <f>IF(T60=0,0,IF($H$8=1," ",IF(K60="K",J60,0)))</f>
        <v>0</v>
      </c>
      <c r="BG60" s="126"/>
      <c r="BI60" s="133">
        <f>IF(T60=0,0,IF(E60="N",H60,0))</f>
        <v>0</v>
      </c>
      <c r="BJ60" s="133">
        <f>IF(T60=0,0,IF(M60="N",J60,0))</f>
        <v>0</v>
      </c>
      <c r="BK60" s="133">
        <f>IF(T60=0,0,IF(E60="N",H60,0))</f>
        <v>0</v>
      </c>
      <c r="BL60" s="133">
        <f>IF(T60=0,0,IF(M60="N",J60,0))</f>
        <v>0</v>
      </c>
      <c r="BM60" s="133"/>
      <c r="BN60" s="133"/>
      <c r="BO60" s="133"/>
      <c r="BP60" s="133"/>
      <c r="BQ60" s="133"/>
      <c r="BR60" s="133"/>
      <c r="BS60" s="133">
        <f>IF(T60=0,0,IF(E60="N",H60,0))</f>
        <v>0</v>
      </c>
      <c r="BT60" s="133">
        <f>IF(T60=0,0,IF(M60="N",J60,0))</f>
        <v>0</v>
      </c>
      <c r="BU60" s="133"/>
      <c r="BV60" s="133"/>
      <c r="BW60" s="133"/>
      <c r="BY60" s="130"/>
      <c r="BZ60" s="136"/>
      <c r="CA60" s="128">
        <f t="shared" ref="CA60:CA79" si="20">CA59+2</f>
        <v>45</v>
      </c>
      <c r="CB60" s="129">
        <f>IF(SUM(CB$38:CB59)=0,CC60,0)</f>
        <v>0</v>
      </c>
      <c r="CC60" s="129">
        <f>IF(H$5&lt;46,0,IF(G50="G",0,IF(G50="C",0,IF(G50="M",0,IF(G50="K",0,IF(AND(OR($H$10="FULL",$H$10="AUTO"),OR($H$8=1,$H$8="3Y"),G50="D"),0,45))))))</f>
        <v>0</v>
      </c>
      <c r="CD60" s="128" t="str">
        <f>IF($H$10="NONE","ENTER CIRCUIT #45 LOAD IDENTIFIER  ( G, C, M, K )",IF($H$8="3D","ENTER CIRCUIT #45 LOAD IDENTIFIER  ( G, C, M, K )","ENTER CIRCUIT #45 LOAD IDENTIFIER  ( G, D, C, M, K )"))</f>
        <v>ENTER CIRCUIT #45 LOAD IDENTIFIER  ( G, D, C, M, K )</v>
      </c>
      <c r="CE60" s="129">
        <f>IF(SUM(CE$38:CE59)=0,CF60,0)</f>
        <v>0</v>
      </c>
      <c r="CF60" s="129">
        <f>IF(H$5&lt;46,0,IF(ISBLANK(F50)=TRUE,45,IF(F50=" ",0,IF(F50="H",0,45))))</f>
        <v>0</v>
      </c>
      <c r="CG60" s="128" t="s">
        <v>319</v>
      </c>
      <c r="CH60" s="129">
        <f>IF(SUM(CH$38:CH59)=0,CI60,0)</f>
        <v>0</v>
      </c>
      <c r="CI60" s="132">
        <f>IF($H$5&lt;46,0,IF(ISBLANK($E50)=TRUE,45,IF($E50=" ",0,IF(AND($H$8&lt;&gt;"3D",$E50="N"),0,45))))</f>
        <v>0</v>
      </c>
      <c r="CJ60" s="128" t="str">
        <f>IF($H$8&lt;&gt;"3D","ENTER CIRCUIT #45 NEUTRAL IDENTIFIER  ( N or SPACE )","ENTER CIRCUIT #45 NEUTRAL IDENTIFIER  ( SPACE )")</f>
        <v>ENTER CIRCUIT #45 NEUTRAL IDENTIFIER  ( N or SPACE )</v>
      </c>
      <c r="CK60" s="128"/>
      <c r="CL60" s="128"/>
      <c r="CM60" s="128"/>
      <c r="CN60" s="128"/>
      <c r="CO60" s="128"/>
      <c r="CP60" s="128"/>
      <c r="CQ60" s="32"/>
      <c r="CX60" s="46" t="s">
        <v>175</v>
      </c>
      <c r="CY60" s="155" t="str">
        <f>H12</f>
        <v>Y</v>
      </c>
      <c r="CZ60" s="22"/>
      <c r="DA60" s="22"/>
      <c r="DB60" s="22"/>
      <c r="DC60" s="22">
        <f>IF(AND(DE59&lt;10,DA54&gt;1),DA23,DC59)*DA54</f>
        <v>50</v>
      </c>
      <c r="DD60" s="22" t="str">
        <f>IF(AND(DE59&lt;10,DA54&gt;1),DC23,DD59)</f>
        <v>#6</v>
      </c>
      <c r="DE60" s="22">
        <f>IF(AND(DE59&lt;10,DA54&gt;1),10,DE59)</f>
        <v>5</v>
      </c>
      <c r="DF60" s="22"/>
      <c r="DG60" s="22"/>
      <c r="DH60" s="22"/>
      <c r="DJ60" s="22"/>
      <c r="DR60" s="58" t="s">
        <v>76</v>
      </c>
      <c r="DS60" s="58">
        <v>5</v>
      </c>
      <c r="DT60" s="58">
        <f t="shared" si="19"/>
        <v>5.0700000000000002E-2</v>
      </c>
      <c r="DU60" s="22"/>
      <c r="DV60" s="58" t="s">
        <v>76</v>
      </c>
      <c r="DW60" s="58">
        <v>5</v>
      </c>
      <c r="DX60" s="82">
        <v>7.2599999999999998E-2</v>
      </c>
      <c r="DY60" s="82">
        <v>0.1041</v>
      </c>
      <c r="DZ60" s="82">
        <v>5.0700000000000002E-2</v>
      </c>
      <c r="EA60" s="82">
        <v>5.8999999999999997E-2</v>
      </c>
      <c r="EB60" s="82">
        <v>6.6000000000000003E-2</v>
      </c>
      <c r="EC60" s="82">
        <v>4.5199999999999997E-2</v>
      </c>
      <c r="ED60" s="82">
        <v>3.9399999999999998E-2</v>
      </c>
      <c r="EF60" s="51" t="s">
        <v>176</v>
      </c>
      <c r="EG60" s="52">
        <f>CZ54</f>
        <v>6</v>
      </c>
      <c r="EH60" s="22">
        <f>CZ54</f>
        <v>6</v>
      </c>
      <c r="EI60" s="22">
        <f>CZ55</f>
        <v>6</v>
      </c>
      <c r="EJ60" s="22">
        <f>CZ54</f>
        <v>6</v>
      </c>
      <c r="EK60" s="22"/>
      <c r="EL60" s="22"/>
      <c r="EM60" s="22"/>
      <c r="EN60" s="22"/>
      <c r="EO60" s="22"/>
      <c r="EP60" s="22"/>
      <c r="EQ60" s="22"/>
      <c r="ER60" s="22"/>
    </row>
    <row r="61" spans="1:150" ht="12" customHeight="1">
      <c r="A61" s="92"/>
      <c r="B61" s="106">
        <v>67</v>
      </c>
      <c r="C61" s="674"/>
      <c r="D61" s="671"/>
      <c r="E61" s="668" t="s">
        <v>12</v>
      </c>
      <c r="F61" s="675" t="s">
        <v>12</v>
      </c>
      <c r="G61" s="670" t="s">
        <v>394</v>
      </c>
      <c r="H61" s="669"/>
      <c r="I61" s="108" t="str">
        <f t="shared" si="11"/>
        <v>L1</v>
      </c>
      <c r="J61" s="669"/>
      <c r="K61" s="670" t="s">
        <v>394</v>
      </c>
      <c r="L61" s="675" t="s">
        <v>12</v>
      </c>
      <c r="M61" s="668" t="s">
        <v>12</v>
      </c>
      <c r="N61" s="671"/>
      <c r="O61" s="672"/>
      <c r="P61" s="106">
        <v>68</v>
      </c>
      <c r="Q61" s="92"/>
      <c r="T61" s="126">
        <f>IF($H$5&gt;66,1,0)</f>
        <v>1</v>
      </c>
      <c r="U61" s="126" t="str">
        <f>IF($H$8=1,"L2","L1")</f>
        <v>L1</v>
      </c>
      <c r="W61" s="133">
        <f>IF(T61=0,0,IF($H$8=1," ",(H61+J61)))</f>
        <v>0</v>
      </c>
      <c r="X61" s="133" t="str">
        <f>IF(T61=0,0,IF($H$8=1,(H61+J61)," "))</f>
        <v xml:space="preserve"> </v>
      </c>
      <c r="Z61" s="133">
        <f>IF($H$8=1," ",IF(T61=0,0,IF(G61="G",H61,0)))</f>
        <v>0</v>
      </c>
      <c r="AA61" s="133">
        <f>IF($H$8=1," ",IF(T61=0,0,IF(K61="G",J61,0)))</f>
        <v>0</v>
      </c>
      <c r="AB61" s="133" t="str">
        <f>IF($H$8=1,IF(T61=0,0,IF(G61="G",H61,0))," ")</f>
        <v xml:space="preserve"> </v>
      </c>
      <c r="AC61" s="133" t="str">
        <f>IF($H$8=1,IF(T61=0,0,IF(K61="G",J61,0))," ")</f>
        <v xml:space="preserve"> </v>
      </c>
      <c r="AF61" s="126">
        <f>IF($H$8=1," ",IF(T61=0,0,IF(G61="D",H61,0)))</f>
        <v>0</v>
      </c>
      <c r="AG61" s="126">
        <f>IF($H$8=1," ",IF(T61=0,0,IF(K61="D",J61,0)))</f>
        <v>0</v>
      </c>
      <c r="AH61" s="126" t="str">
        <f>IF($H$8=1,IF(T61=0,0,IF(G61="D",H61,0))," ")</f>
        <v xml:space="preserve"> </v>
      </c>
      <c r="AI61" s="126" t="str">
        <f>IF($H$8=1,IF(T61=0,0,IF(K61="D",J61,0))," ")</f>
        <v xml:space="preserve"> </v>
      </c>
      <c r="AL61" s="126">
        <f>IF($H$8=1," ",IF(T61=0,0,IF(G61="C",H61,0)))</f>
        <v>0</v>
      </c>
      <c r="AM61" s="126">
        <f>IF($H$8=1," ",IF(T61=0,0,IF(K61="C",J61,0)))</f>
        <v>0</v>
      </c>
      <c r="AN61" s="126" t="str">
        <f>IF($H$8=1,IF(T61=0,0,IF(G61="C",H61,0))," ")</f>
        <v xml:space="preserve"> </v>
      </c>
      <c r="AO61" s="126" t="str">
        <f>IF($H$8=1,IF(T61=0,0,IF(K61="C",J61,0))," ")</f>
        <v xml:space="preserve"> </v>
      </c>
      <c r="AR61" s="133">
        <f t="shared" si="12"/>
        <v>0</v>
      </c>
      <c r="AS61" s="133">
        <f t="shared" si="10"/>
        <v>0</v>
      </c>
      <c r="AT61" s="133">
        <f>IF(T61=0,0,IF($H$8=1," ",IF(G61="M",H61,0)))</f>
        <v>0</v>
      </c>
      <c r="AU61" s="133">
        <f>IF(T61=0,0,IF($H$8=1," ",IF(K61="M",J61,0)))</f>
        <v>0</v>
      </c>
      <c r="AV61" s="133" t="str">
        <f>IF(T61=0,0,IF($H$8=1,IF(G61="M",H61,0)," "))</f>
        <v xml:space="preserve"> </v>
      </c>
      <c r="AW61" s="133" t="str">
        <f>IF(T61=0,0,IF($H$8=1,IF(K61="M",J61,0)," "))</f>
        <v xml:space="preserve"> </v>
      </c>
      <c r="BA61" s="133">
        <f>IF(T61=0,0,IF($H$8=1," ",IF(G61="K",H61,0)))</f>
        <v>0</v>
      </c>
      <c r="BB61" s="133">
        <f>IF(T61=0,0,IF($H$8=1," ",IF(K61="K",J61,0)))</f>
        <v>0</v>
      </c>
      <c r="BC61" s="133" t="str">
        <f>IF(T61=0,0,IF($H$8=1,IF(G61="K",H61,0)," "))</f>
        <v xml:space="preserve"> </v>
      </c>
      <c r="BD61" s="133" t="str">
        <f>IF(T61=0,0,IF($H$8=1,IF(K61="K",J61,0)," "))</f>
        <v xml:space="preserve"> </v>
      </c>
      <c r="BE61" s="133"/>
      <c r="BF61" s="133"/>
      <c r="BG61" s="126">
        <f>IF(T61=0,0,IF(E61="N",H61,0))</f>
        <v>0</v>
      </c>
      <c r="BH61" s="133">
        <f>IF(T61=0,0,IF(M61="N",J61,0))</f>
        <v>0</v>
      </c>
      <c r="BK61" s="133"/>
      <c r="BL61" s="133"/>
      <c r="BM61" s="133">
        <f>IF(T61=0,0,IF(E61="N",H61,0))</f>
        <v>0</v>
      </c>
      <c r="BN61" s="133">
        <f>IF(T61=0,0,IF(M61="N",J61,0))</f>
        <v>0</v>
      </c>
      <c r="BO61" s="133">
        <f>IF(T61=0,0,IF(E61="N",H61,0))</f>
        <v>0</v>
      </c>
      <c r="BP61" s="133">
        <f>IF(T61=0,0,IF(M61="N",J61,0))</f>
        <v>0</v>
      </c>
      <c r="BQ61" s="133"/>
      <c r="BR61" s="133"/>
      <c r="BS61" s="133"/>
      <c r="BT61" s="133"/>
      <c r="BU61" s="133"/>
      <c r="BV61" s="133"/>
      <c r="BW61" s="133"/>
      <c r="BY61" s="130"/>
      <c r="BZ61" s="136"/>
      <c r="CA61" s="128">
        <f t="shared" si="20"/>
        <v>47</v>
      </c>
      <c r="CB61" s="129">
        <f>IF(SUM(CB$38:CB60)=0,CC61,0)</f>
        <v>0</v>
      </c>
      <c r="CC61" s="129">
        <f>IF(H$5&lt;48,0,IF(G51="G",0,IF(G51="C",0,IF(G51="M",0,IF(G51="K",0,IF(AND(OR($H$10="FULL",$H$10="AUTO"),G51="D"),0,47))))))</f>
        <v>0</v>
      </c>
      <c r="CD61" s="128" t="str">
        <f>IF($H$10="NONE","ENTER CIRCUIT #47 LOAD IDENTIFIER  ( G, C, M, K )","ENTER CIRCUIT #47 LOAD IDENTIFIER  ( G, D, C, M, K )")</f>
        <v>ENTER CIRCUIT #47 LOAD IDENTIFIER  ( G, D, C, M, K )</v>
      </c>
      <c r="CE61" s="129">
        <f>IF(SUM(CE$38:CE60)=0,CF61,0)</f>
        <v>0</v>
      </c>
      <c r="CF61" s="129">
        <f>IF(H$5&lt;48,0,IF(ISBLANK(F51)=TRUE,47,IF(F51=" ",0,IF(F51="H",0,47))))</f>
        <v>0</v>
      </c>
      <c r="CG61" s="128" t="s">
        <v>320</v>
      </c>
      <c r="CH61" s="129">
        <f>IF(SUM(CH$38:CH60)=0,CI61,0)</f>
        <v>0</v>
      </c>
      <c r="CI61" s="132">
        <f>IF($H$5&lt;48,0,IF(ISBLANK($E51)=TRUE,47,IF($E51="N",0,IF($E51=" ",0,47))))</f>
        <v>0</v>
      </c>
      <c r="CJ61" s="128" t="s">
        <v>458</v>
      </c>
      <c r="CK61" s="128"/>
      <c r="CL61" s="128"/>
      <c r="CM61" s="128"/>
      <c r="CN61" s="128"/>
      <c r="CO61" s="128"/>
      <c r="CP61" s="128"/>
      <c r="CQ61" s="32"/>
      <c r="CX61" s="49" t="s">
        <v>178</v>
      </c>
      <c r="CY61" s="50">
        <f>CY8</f>
        <v>57.9</v>
      </c>
      <c r="CZ61" s="22"/>
      <c r="DA61" s="22"/>
      <c r="DB61" s="22"/>
      <c r="DC61" s="22"/>
      <c r="DD61" s="22"/>
      <c r="DE61" s="22"/>
      <c r="DF61" s="22"/>
      <c r="DG61" s="22"/>
      <c r="DH61" s="22"/>
      <c r="DJ61" s="22"/>
      <c r="DR61" s="62" t="s">
        <v>80</v>
      </c>
      <c r="DS61" s="62">
        <v>6</v>
      </c>
      <c r="DT61" s="62">
        <f t="shared" si="19"/>
        <v>8.2400000000000001E-2</v>
      </c>
      <c r="DU61" s="22"/>
      <c r="DV61" s="62" t="s">
        <v>80</v>
      </c>
      <c r="DW61" s="62">
        <v>6</v>
      </c>
      <c r="DX61" s="63">
        <v>9.7299999999999998E-2</v>
      </c>
      <c r="DY61" s="63">
        <v>0.1333</v>
      </c>
      <c r="DZ61" s="63">
        <v>8.2400000000000001E-2</v>
      </c>
      <c r="EA61" s="63">
        <v>8.14E-2</v>
      </c>
      <c r="EB61" s="63">
        <v>8.8099999999999998E-2</v>
      </c>
      <c r="EC61" s="63">
        <v>7.2999999999999995E-2</v>
      </c>
      <c r="ED61" s="63">
        <v>5.2999999999999999E-2</v>
      </c>
      <c r="EF61" s="58" t="s">
        <v>68</v>
      </c>
      <c r="EG61" s="58" t="s">
        <v>68</v>
      </c>
      <c r="EH61" s="58" t="str">
        <f>IF($EG$55="AL",EJ61,IF($EG$55="CU",EI61,"ERR"))</f>
        <v>RES</v>
      </c>
      <c r="EI61" s="58" t="s">
        <v>179</v>
      </c>
      <c r="EJ61" s="58" t="s">
        <v>179</v>
      </c>
      <c r="EK61" s="22"/>
      <c r="EL61" s="22"/>
      <c r="EM61" s="157" t="s">
        <v>251</v>
      </c>
      <c r="EN61" s="158"/>
      <c r="EO61" s="159"/>
      <c r="EP61" s="159"/>
      <c r="EQ61" s="159"/>
      <c r="ER61" s="159"/>
      <c r="ES61" s="159"/>
      <c r="ET61" s="159"/>
    </row>
    <row r="62" spans="1:150" ht="12" customHeight="1">
      <c r="A62" s="92"/>
      <c r="B62" s="106">
        <v>69</v>
      </c>
      <c r="C62" s="674"/>
      <c r="D62" s="671"/>
      <c r="E62" s="668" t="s">
        <v>12</v>
      </c>
      <c r="F62" s="675" t="s">
        <v>12</v>
      </c>
      <c r="G62" s="670" t="s">
        <v>394</v>
      </c>
      <c r="H62" s="669"/>
      <c r="I62" s="108" t="str">
        <f t="shared" si="11"/>
        <v>L2</v>
      </c>
      <c r="J62" s="669"/>
      <c r="K62" s="670" t="s">
        <v>394</v>
      </c>
      <c r="L62" s="675" t="s">
        <v>12</v>
      </c>
      <c r="M62" s="668" t="s">
        <v>12</v>
      </c>
      <c r="N62" s="671"/>
      <c r="O62" s="672"/>
      <c r="P62" s="106">
        <v>70</v>
      </c>
      <c r="Q62" s="92"/>
      <c r="T62" s="126">
        <f>IF($H$5&gt;68,1,0)</f>
        <v>1</v>
      </c>
      <c r="U62" s="126" t="str">
        <f>IF($H$8=1,"L1","L2")</f>
        <v>L2</v>
      </c>
      <c r="W62" s="133" t="str">
        <f>IF(T62=0,0,IF($H$8=1,(H62+J62)," "))</f>
        <v xml:space="preserve"> </v>
      </c>
      <c r="X62" s="133">
        <f>IF(T62=0,0,IF($H$8=1," ",(H62+J62)))</f>
        <v>0</v>
      </c>
      <c r="Z62" s="133" t="str">
        <f>IF($H$8=1,IF(T62=0,0,IF(G62="G",H62,0))," ")</f>
        <v xml:space="preserve"> </v>
      </c>
      <c r="AA62" s="133" t="str">
        <f>IF($H$8=1,IF(T62=0,0,IF(K62="G",J62,0))," ")</f>
        <v xml:space="preserve"> </v>
      </c>
      <c r="AB62" s="133">
        <f>IF($H$8=1," ",IF(T62=0,0,IF(G62="G",H62,0)))</f>
        <v>0</v>
      </c>
      <c r="AC62" s="133">
        <f>IF($H$8=1," ",IF(T62=0,0,IF(K62="G",J62,0)))</f>
        <v>0</v>
      </c>
      <c r="AF62" s="126" t="str">
        <f>IF($H$8=1,IF(T62=0,0,IF(G62="D",H62,0))," ")</f>
        <v xml:space="preserve"> </v>
      </c>
      <c r="AG62" s="126" t="str">
        <f>IF($H$8=1,IF(T62=0,0,IF(K62="D",J62,0))," ")</f>
        <v xml:space="preserve"> </v>
      </c>
      <c r="AH62" s="126">
        <f>IF($H$8=1," ",IF(T62=0,0,IF(G62="D",H62,0)))</f>
        <v>0</v>
      </c>
      <c r="AI62" s="126">
        <f>IF($H$8=1," ",IF(T62=0,0,IF(K62="D",J62,0)))</f>
        <v>0</v>
      </c>
      <c r="AL62" s="126" t="str">
        <f>IF($H$8=1,IF(T62=0,0,IF(G62="C",H62,0))," ")</f>
        <v xml:space="preserve"> </v>
      </c>
      <c r="AM62" s="126" t="str">
        <f>IF($H$8=1,IF(T62=0,0,IF(K62="C",J62,0))," ")</f>
        <v xml:space="preserve"> </v>
      </c>
      <c r="AN62" s="126">
        <f>IF($H$8=1," ",IF(T62=0,0,IF(G62="C",H62,0)))</f>
        <v>0</v>
      </c>
      <c r="AO62" s="126">
        <f>IF($H$8=1," ",IF(T62=0,0,IF(K62="C",J62,0)))</f>
        <v>0</v>
      </c>
      <c r="AR62" s="133">
        <f t="shared" si="12"/>
        <v>0</v>
      </c>
      <c r="AS62" s="133">
        <f t="shared" si="10"/>
        <v>0</v>
      </c>
      <c r="AT62" s="133" t="str">
        <f>IF(T62=0,0,IF($H$8=1,IF(G62="M",H62,0)," "))</f>
        <v xml:space="preserve"> </v>
      </c>
      <c r="AU62" s="133" t="str">
        <f>IF(T62=0,0,IF($H$8=1,IF(K62="M",J62,0)," "))</f>
        <v xml:space="preserve"> </v>
      </c>
      <c r="AV62" s="133">
        <f>IF(T62=0,0,IF($H$8=1," ",IF(G62="M",H62,0)))</f>
        <v>0</v>
      </c>
      <c r="AW62" s="133">
        <f>IF(T62=0,0,IF($H$8=1," ",IF(K62="M",J62,0)))</f>
        <v>0</v>
      </c>
      <c r="BA62" s="133" t="str">
        <f>IF(T62=0,0,IF($H$8=1,IF(G62="K",H62,0)," "))</f>
        <v xml:space="preserve"> </v>
      </c>
      <c r="BB62" s="133" t="str">
        <f>IF(T62=0,0,IF($H$8=1,IF(K62="K",J62,0)," "))</f>
        <v xml:space="preserve"> </v>
      </c>
      <c r="BC62" s="133">
        <f>IF(T62=0,0,IF($H$8=1," ",IF(G62="K",H62,0)))</f>
        <v>0</v>
      </c>
      <c r="BD62" s="133">
        <f>IF(T62=0,0,IF($H$8=1," ",IF(K62="K",J62,0)))</f>
        <v>0</v>
      </c>
      <c r="BE62" s="133"/>
      <c r="BF62" s="133"/>
      <c r="BK62" s="133">
        <f>IF(T62=0,0,IF(E62="N",H62,0))</f>
        <v>0</v>
      </c>
      <c r="BL62" s="133">
        <f>IF(T62=0,0,IF(M62="N",J62,0))</f>
        <v>0</v>
      </c>
      <c r="BM62" s="133"/>
      <c r="BN62" s="133"/>
      <c r="BO62" s="133"/>
      <c r="BP62" s="133"/>
      <c r="BQ62" s="133">
        <f>IF(T62=0,0,IF(E62="N",H62,0))</f>
        <v>0</v>
      </c>
      <c r="BR62" s="133">
        <f>IF(T62=0,0,IF(M62="N",J62,0))</f>
        <v>0</v>
      </c>
      <c r="BS62" s="133"/>
      <c r="BT62" s="133"/>
      <c r="BU62" s="133"/>
      <c r="BV62" s="133"/>
      <c r="BW62" s="133"/>
      <c r="BY62" s="130"/>
      <c r="BZ62" s="136"/>
      <c r="CA62" s="128">
        <f t="shared" si="20"/>
        <v>49</v>
      </c>
      <c r="CB62" s="129">
        <f>IF(SUM(CB$38:CB61)=0,CC62,0)</f>
        <v>0</v>
      </c>
      <c r="CC62" s="129">
        <f>IF(H$5&lt;50,0,IF(G52="G",0,IF(G52="C",0,IF(G52="M",0,IF(G52="K",0,IF(AND(OR($H$10="FULL",$H$10="AUTO"),G52="D"),0,49))))))</f>
        <v>0</v>
      </c>
      <c r="CD62" s="128" t="str">
        <f>IF($H$10="NONE","ENTER CIRCUIT #49 LOAD IDENTIFIER  ( G, C, M, K )","ENTER CIRCUIT #49 LOAD IDENTIFIER  ( G, D, C, M, K )")</f>
        <v>ENTER CIRCUIT #49 LOAD IDENTIFIER  ( G, D, C, M, K )</v>
      </c>
      <c r="CE62" s="129">
        <f>IF(SUM(CE$38:CE61)=0,CF62,0)</f>
        <v>0</v>
      </c>
      <c r="CF62" s="129">
        <f>IF(H$5&lt;50,0,IF(ISBLANK(F52)=TRUE,49,IF(F52=" ",0,IF(F52="H",0,49))))</f>
        <v>0</v>
      </c>
      <c r="CG62" s="128" t="s">
        <v>321</v>
      </c>
      <c r="CH62" s="129">
        <f>IF(SUM(CH$38:CH61)=0,CI62,0)</f>
        <v>0</v>
      </c>
      <c r="CI62" s="132">
        <f>IF($H$5&lt;50,0,IF(ISBLANK($E52)=TRUE,49,IF($E52="N",0,IF($E52=" ",0,49))))</f>
        <v>0</v>
      </c>
      <c r="CJ62" s="128" t="s">
        <v>459</v>
      </c>
      <c r="CK62" s="128"/>
      <c r="CL62" s="128"/>
      <c r="CM62" s="128"/>
      <c r="CN62" s="128"/>
      <c r="CO62" s="128"/>
      <c r="CP62" s="128"/>
      <c r="CQ62" s="32"/>
      <c r="CX62" s="61" t="s">
        <v>181</v>
      </c>
      <c r="CY62" s="188" t="str">
        <f>CY6</f>
        <v>AL</v>
      </c>
      <c r="CZ62" s="22"/>
      <c r="DA62" s="22"/>
      <c r="DB62" s="22"/>
      <c r="DC62" s="22"/>
      <c r="DD62" s="22"/>
      <c r="DE62" s="22"/>
      <c r="DF62" s="22"/>
      <c r="DG62" s="22"/>
      <c r="DH62" s="22"/>
      <c r="DJ62" s="22"/>
      <c r="DR62" s="62" t="s">
        <v>84</v>
      </c>
      <c r="DS62" s="62">
        <v>7</v>
      </c>
      <c r="DT62" s="62">
        <f t="shared" si="19"/>
        <v>9.7299999999999998E-2</v>
      </c>
      <c r="DU62" s="22"/>
      <c r="DV62" s="62" t="s">
        <v>84</v>
      </c>
      <c r="DW62" s="62">
        <v>7</v>
      </c>
      <c r="DX62" s="63">
        <v>0.1134</v>
      </c>
      <c r="DY62" s="63">
        <v>0.15210000000000001</v>
      </c>
      <c r="DZ62" s="63">
        <v>9.7299999999999998E-2</v>
      </c>
      <c r="EA62" s="63">
        <v>9.6199999999999994E-2</v>
      </c>
      <c r="EB62" s="63"/>
      <c r="EC62" s="63"/>
      <c r="ED62" s="63"/>
      <c r="EF62" s="62" t="s">
        <v>38</v>
      </c>
      <c r="EG62" s="62" t="s">
        <v>38</v>
      </c>
      <c r="EH62" s="62" t="str">
        <f t="shared" ref="EH62:EH77" si="21">IF($EG$55="AL",EJ62,IF($EG$55="CU",EI62,"ERR"))</f>
        <v>NEC</v>
      </c>
      <c r="EI62" s="62" t="s">
        <v>182</v>
      </c>
      <c r="EJ62" s="62" t="s">
        <v>182</v>
      </c>
      <c r="EK62" s="22"/>
      <c r="EL62" s="22"/>
      <c r="EM62" s="158"/>
      <c r="EN62" s="158"/>
      <c r="EO62" s="158"/>
      <c r="EP62" s="159"/>
      <c r="EQ62" s="159"/>
      <c r="ER62" s="159"/>
      <c r="ES62" s="159"/>
      <c r="ET62" s="159"/>
    </row>
    <row r="63" spans="1:150" ht="12" customHeight="1">
      <c r="A63" s="92"/>
      <c r="B63" s="106">
        <v>71</v>
      </c>
      <c r="C63" s="674"/>
      <c r="D63" s="671"/>
      <c r="E63" s="668" t="s">
        <v>12</v>
      </c>
      <c r="F63" s="675" t="s">
        <v>12</v>
      </c>
      <c r="G63" s="670" t="s">
        <v>394</v>
      </c>
      <c r="H63" s="669"/>
      <c r="I63" s="108" t="str">
        <f t="shared" si="11"/>
        <v>L3</v>
      </c>
      <c r="J63" s="669"/>
      <c r="K63" s="670" t="s">
        <v>394</v>
      </c>
      <c r="L63" s="675" t="s">
        <v>12</v>
      </c>
      <c r="M63" s="668" t="s">
        <v>12</v>
      </c>
      <c r="N63" s="671"/>
      <c r="O63" s="672"/>
      <c r="P63" s="106">
        <v>72</v>
      </c>
      <c r="Q63" s="92"/>
      <c r="T63" s="126">
        <f>IF($H$5&gt;70,1,0)</f>
        <v>1</v>
      </c>
      <c r="U63" s="126" t="str">
        <f>IF($H$8=1,"L2","L3")</f>
        <v>L3</v>
      </c>
      <c r="X63" s="133" t="str">
        <f>IF(T63=0,0,IF($H$8=1,(H63+J63)," "))</f>
        <v xml:space="preserve"> </v>
      </c>
      <c r="Y63" s="133">
        <f>IF(T63=0,0,IF($H$8=1," ",(H63+J63)))</f>
        <v>0</v>
      </c>
      <c r="AB63" s="133" t="str">
        <f>IF($H$8=1,IF(T63=0,0,IF(G63="G",H63,0))," ")</f>
        <v xml:space="preserve"> </v>
      </c>
      <c r="AC63" s="133" t="str">
        <f>IF($H$8=1,IF(T63=0,0,IF(K63="G",J63,0))," ")</f>
        <v xml:space="preserve"> </v>
      </c>
      <c r="AD63" s="133">
        <f>IF($H$8=1," ",IF(T63=0,0,IF(G63="G",H63,0)))</f>
        <v>0</v>
      </c>
      <c r="AE63" s="133">
        <f>IF($H$8=1," ",IF(T63=0,0,IF(K63="G",J63,0)))</f>
        <v>0</v>
      </c>
      <c r="AH63" s="126" t="str">
        <f>IF($H$8=1,IF(T63=0,0,IF(G63="D",H63,0))," ")</f>
        <v xml:space="preserve"> </v>
      </c>
      <c r="AI63" s="126" t="str">
        <f>IF($H$8=1,IF(T63=0,0,IF(K63="D",J63,0))," ")</f>
        <v xml:space="preserve"> </v>
      </c>
      <c r="AJ63" s="126">
        <f>IF($H$8=1," ",IF(T63=0,0,IF(G63="D",H63,0)))</f>
        <v>0</v>
      </c>
      <c r="AK63" s="126">
        <f>IF($H$8=1," ",IF(T63=0,0,IF(K63="D",J63,0)))</f>
        <v>0</v>
      </c>
      <c r="AN63" s="126" t="str">
        <f>IF($H$8=1,IF(T63=0,0,IF(G63="C",H63,0))," ")</f>
        <v xml:space="preserve"> </v>
      </c>
      <c r="AO63" s="126" t="str">
        <f>IF($H$8=1,IF(T63=0,0,IF(K63="C",J63,0))," ")</f>
        <v xml:space="preserve"> </v>
      </c>
      <c r="AP63" s="126">
        <f>IF($H$8=1," ",IF(T63=0,0,IF(G63="C",H63,0)))</f>
        <v>0</v>
      </c>
      <c r="AQ63" s="126">
        <f>IF($H$8=1," ",IF(T63=0,0,IF(K63="C",J63,0)))</f>
        <v>0</v>
      </c>
      <c r="AR63" s="133">
        <f t="shared" si="12"/>
        <v>0</v>
      </c>
      <c r="AS63" s="133">
        <f t="shared" si="10"/>
        <v>0</v>
      </c>
      <c r="AV63" s="133" t="str">
        <f>IF(T63=0,0,IF($H$8=1,IF(G63="M",H63,0)," "))</f>
        <v xml:space="preserve"> </v>
      </c>
      <c r="AW63" s="133" t="str">
        <f>IF(T63=0,0,IF($H$8=1,IF(K63="M",J63,0)," "))</f>
        <v xml:space="preserve"> </v>
      </c>
      <c r="AX63" s="133">
        <f>IF(T63=0,0,IF($H$8=1," ",IF(G63="M",H63,0)))</f>
        <v>0</v>
      </c>
      <c r="AY63" s="133">
        <f>IF(T63=0,0,IF($H$8=1," ",IF(K63="M",J63,0)))</f>
        <v>0</v>
      </c>
      <c r="BA63" s="133"/>
      <c r="BB63" s="133"/>
      <c r="BC63" s="133" t="str">
        <f>IF(T63=0,0,IF($H$8=1,IF(G63="K",H63,0)," "))</f>
        <v xml:space="preserve"> </v>
      </c>
      <c r="BD63" s="133" t="str">
        <f>IF(T63=0,0,IF($H$8=1,IF(K63="K",J63,0)," "))</f>
        <v xml:space="preserve"> </v>
      </c>
      <c r="BE63" s="133">
        <f>IF(T63=0,0,IF($H$8=1," ",IF(G63="K",H63,0)))</f>
        <v>0</v>
      </c>
      <c r="BF63" s="133">
        <f>IF(T63=0,0,IF($H$8=1," ",IF(K63="K",J63,0)))</f>
        <v>0</v>
      </c>
      <c r="BG63" s="126"/>
      <c r="BI63" s="133">
        <f>IF(T63=0,0,IF(E63="N",H63,0))</f>
        <v>0</v>
      </c>
      <c r="BJ63" s="133">
        <f>IF(T63=0,0,IF(M63="N",J63,0))</f>
        <v>0</v>
      </c>
      <c r="BK63" s="133"/>
      <c r="BL63" s="133"/>
      <c r="BM63" s="133">
        <f>IF(T63=0,0,IF(E63="N",H63,0))</f>
        <v>0</v>
      </c>
      <c r="BN63" s="133">
        <f>IF(T63=0,0,IF(M63="N",J63,0))</f>
        <v>0</v>
      </c>
      <c r="BO63" s="133"/>
      <c r="BP63" s="133"/>
      <c r="BQ63" s="133"/>
      <c r="BR63" s="133"/>
      <c r="BS63" s="133">
        <f>IF(T63=0,0,IF(E63="N",H63,0))</f>
        <v>0</v>
      </c>
      <c r="BT63" s="133">
        <f>IF(T63=0,0,IF(M63="N",J63,0))</f>
        <v>0</v>
      </c>
      <c r="BU63" s="133"/>
      <c r="BV63" s="133"/>
      <c r="BW63" s="133"/>
      <c r="BY63" s="130"/>
      <c r="BZ63" s="136"/>
      <c r="CA63" s="128">
        <f t="shared" si="20"/>
        <v>51</v>
      </c>
      <c r="CB63" s="129">
        <f>IF(SUM(CB$38:CB62)=0,CC63,0)</f>
        <v>0</v>
      </c>
      <c r="CC63" s="129">
        <f>IF(H$5&lt;52,0,IF(G53="G",0,IF(G53="C",0,IF(G53="M",0,IF(G53="K",0,IF(AND(OR($H$10="FULL",$H$10="AUTO"),OR($H$8=1,$H$8="3Y"),G53="D"),0,51))))))</f>
        <v>0</v>
      </c>
      <c r="CD63" s="128" t="str">
        <f>IF($H$10="NONE","ENTER CIRCUIT #51 LOAD IDENTIFIER  ( G, C, M, K )",IF($H$8="3D","ENTER CIRCUIT #51 LOAD IDENTIFIER  ( G, C, M, K )","ENTER CIRCUIT #51 LOAD IDENTIFIER  ( G, D, C, M, K )"))</f>
        <v>ENTER CIRCUIT #51 LOAD IDENTIFIER  ( G, D, C, M, K )</v>
      </c>
      <c r="CE63" s="129">
        <f>IF(SUM(CE$38:CE62)=0,CF63,0)</f>
        <v>0</v>
      </c>
      <c r="CF63" s="129">
        <f>IF(H$5&lt;52,0,IF(ISBLANK(F53)=TRUE,51,IF(F53=" ",0,IF(F53="H",0,51))))</f>
        <v>0</v>
      </c>
      <c r="CG63" s="128" t="s">
        <v>322</v>
      </c>
      <c r="CH63" s="129">
        <f>IF(SUM(CH$38:CH62)=0,CI63,0)</f>
        <v>0</v>
      </c>
      <c r="CI63" s="132">
        <f>IF($H$5&lt;52,0,IF(ISBLANK($E53)=TRUE,51,IF($E53=" ",0,IF(AND($H$8&lt;&gt;"3D",$E53="N"),0,51))))</f>
        <v>0</v>
      </c>
      <c r="CJ63" s="128" t="str">
        <f>IF($H$8&lt;&gt;"3D","ENTER CIRCUIT #51 NEUTRAL IDENTIFIER  ( N or SPACE )","ENTER CIRCUIT #51 NEUTRAL IDENTIFIER  ( SPACE )")</f>
        <v>ENTER CIRCUIT #51 NEUTRAL IDENTIFIER  ( N or SPACE )</v>
      </c>
      <c r="CK63" s="128"/>
      <c r="CL63" s="128"/>
      <c r="CM63" s="128"/>
      <c r="CN63" s="128"/>
      <c r="CO63" s="128"/>
      <c r="CP63" s="128"/>
      <c r="CQ63" s="32"/>
      <c r="CX63" s="29" t="s">
        <v>184</v>
      </c>
      <c r="CY63" s="27"/>
      <c r="CZ63" s="22"/>
      <c r="DA63" s="22"/>
      <c r="DB63" s="22"/>
      <c r="DC63" s="22"/>
      <c r="DD63" s="22"/>
      <c r="DE63" s="22"/>
      <c r="DF63" s="22"/>
      <c r="DG63" s="22"/>
      <c r="DH63" s="22"/>
      <c r="DJ63" s="22"/>
      <c r="DR63" s="62" t="s">
        <v>83</v>
      </c>
      <c r="DS63" s="62">
        <v>8</v>
      </c>
      <c r="DT63" s="62">
        <f t="shared" si="19"/>
        <v>0.1158</v>
      </c>
      <c r="DU63" s="22"/>
      <c r="DV63" s="62" t="s">
        <v>83</v>
      </c>
      <c r="DW63" s="62">
        <v>8</v>
      </c>
      <c r="DX63" s="63">
        <v>0.1333</v>
      </c>
      <c r="DY63" s="63">
        <v>0.17499999999999999</v>
      </c>
      <c r="DZ63" s="63">
        <v>0.1158</v>
      </c>
      <c r="EA63" s="63">
        <v>0.11459999999999999</v>
      </c>
      <c r="EB63" s="63">
        <v>0.11940000000000001</v>
      </c>
      <c r="EC63" s="63">
        <v>0.1017</v>
      </c>
      <c r="ED63" s="63">
        <v>7.2999999999999995E-2</v>
      </c>
      <c r="EF63" s="62" t="s">
        <v>74</v>
      </c>
      <c r="EG63" s="62" t="s">
        <v>7</v>
      </c>
      <c r="EH63" s="62" t="str">
        <f t="shared" si="21"/>
        <v>AL</v>
      </c>
      <c r="EI63" s="62" t="s">
        <v>60</v>
      </c>
      <c r="EJ63" s="62" t="s">
        <v>77</v>
      </c>
      <c r="EK63" s="22"/>
      <c r="EL63" s="22"/>
      <c r="EM63" s="160">
        <v>1</v>
      </c>
      <c r="EN63" s="161">
        <v>1</v>
      </c>
      <c r="EO63" s="162" t="s">
        <v>134</v>
      </c>
      <c r="EP63" s="163">
        <f>$EG$79</f>
        <v>0.50800000000000001</v>
      </c>
      <c r="EQ63" s="161" t="s">
        <v>135</v>
      </c>
      <c r="ER63" s="161">
        <f>IF($EG$59&gt;1,$EN$63/$EP$63,0)</f>
        <v>0</v>
      </c>
      <c r="ES63" s="161"/>
      <c r="ET63" s="164"/>
    </row>
    <row r="64" spans="1:150" ht="12" customHeight="1">
      <c r="A64" s="92"/>
      <c r="B64" s="106">
        <v>73</v>
      </c>
      <c r="C64" s="674"/>
      <c r="D64" s="671"/>
      <c r="E64" s="668" t="s">
        <v>12</v>
      </c>
      <c r="F64" s="675" t="s">
        <v>12</v>
      </c>
      <c r="G64" s="670" t="s">
        <v>394</v>
      </c>
      <c r="H64" s="669"/>
      <c r="I64" s="108" t="str">
        <f t="shared" si="11"/>
        <v>L1</v>
      </c>
      <c r="J64" s="669"/>
      <c r="K64" s="670" t="s">
        <v>394</v>
      </c>
      <c r="L64" s="675" t="s">
        <v>12</v>
      </c>
      <c r="M64" s="668" t="s">
        <v>12</v>
      </c>
      <c r="N64" s="671"/>
      <c r="O64" s="672"/>
      <c r="P64" s="106">
        <v>74</v>
      </c>
      <c r="Q64" s="92"/>
      <c r="T64" s="126">
        <f>IF($H$5&gt;72,1,0)</f>
        <v>1</v>
      </c>
      <c r="U64" s="126" t="str">
        <f>IF($H$8=1,"L1","L1")</f>
        <v>L1</v>
      </c>
      <c r="W64" s="133">
        <f>IF(T64=0,0,(H64+J64))</f>
        <v>0</v>
      </c>
      <c r="Z64" s="133">
        <f>IF(T64=0,0,IF(G64="G",H64,0))</f>
        <v>0</v>
      </c>
      <c r="AA64" s="133">
        <f>IF(T64=0,0,IF(K64="G",J64,0))</f>
        <v>0</v>
      </c>
      <c r="AF64" s="126">
        <f>IF(T64=0,0,IF(G64="D",H64,0))</f>
        <v>0</v>
      </c>
      <c r="AG64" s="126">
        <f>IF(T64=0,0,IF(K64="D",J64,0))</f>
        <v>0</v>
      </c>
      <c r="AL64" s="126">
        <f>IF(T64=0,0,IF(G64="C",H64,0))</f>
        <v>0</v>
      </c>
      <c r="AM64" s="126">
        <f>IF(T64=0,0,IF(K64="C",J64,0))</f>
        <v>0</v>
      </c>
      <c r="AR64" s="133">
        <f t="shared" si="12"/>
        <v>0</v>
      </c>
      <c r="AS64" s="133">
        <f t="shared" si="10"/>
        <v>0</v>
      </c>
      <c r="AT64" s="133">
        <f>IF(T64=0,0,IF(G64="M",H64,0))</f>
        <v>0</v>
      </c>
      <c r="AU64" s="133">
        <f>IF(T64=0,0,IF(K64="M",J64,0))</f>
        <v>0</v>
      </c>
      <c r="BA64" s="133">
        <f>IF(T64=0,0,IF(G64="K",H64,0))</f>
        <v>0</v>
      </c>
      <c r="BB64" s="133">
        <f>IF(T64=0,0,IF(K64="K",J64,0))</f>
        <v>0</v>
      </c>
      <c r="BC64" s="133"/>
      <c r="BD64" s="133"/>
      <c r="BE64" s="133"/>
      <c r="BF64" s="133"/>
      <c r="BG64" s="126">
        <f>IF(T64=0,0,IF(E64="N",H64,0))</f>
        <v>0</v>
      </c>
      <c r="BH64" s="133">
        <f>IF(T64=0,0,IF(M64="N",J64,0))</f>
        <v>0</v>
      </c>
      <c r="BK64" s="133">
        <f>IF(T64=0,0,IF(E64="N",H64,0))</f>
        <v>0</v>
      </c>
      <c r="BL64" s="133">
        <f>IF(T64=0,0,IF(M64="N",J64,0))</f>
        <v>0</v>
      </c>
      <c r="BM64" s="133"/>
      <c r="BN64" s="133"/>
      <c r="BO64" s="133">
        <f>IF(T64=0,0,IF(E64="N",H64,0))</f>
        <v>0</v>
      </c>
      <c r="BP64" s="133">
        <f>IF(T64=0,0,IF(M64="N",J64,0))</f>
        <v>0</v>
      </c>
      <c r="BQ64" s="133"/>
      <c r="BR64" s="133"/>
      <c r="BS64" s="133"/>
      <c r="BT64" s="133"/>
      <c r="BU64" s="133"/>
      <c r="BV64" s="133"/>
      <c r="BW64" s="133"/>
      <c r="BY64" s="130"/>
      <c r="BZ64" s="136"/>
      <c r="CA64" s="128">
        <f t="shared" si="20"/>
        <v>53</v>
      </c>
      <c r="CB64" s="129">
        <f>IF(SUM(CB$38:CB63)=0,CC64,0)</f>
        <v>0</v>
      </c>
      <c r="CC64" s="129">
        <f>IF(H$5&lt;54,0,IF(G54="G",0,IF(G54="C",0,IF(G54="M",0,IF(G54="K",0,IF(AND(OR($H$10="FULL",$H$10="AUTO"),G54="D"),0,53))))))</f>
        <v>0</v>
      </c>
      <c r="CD64" s="128" t="str">
        <f>IF($H$10="NONE","ENTER CIRCUIT #53 LOAD IDENTIFIER  ( G, C, M, K )","ENTER CIRCUIT #53 LOAD IDENTIFIER  ( G, D, C, M, K )")</f>
        <v>ENTER CIRCUIT #53 LOAD IDENTIFIER  ( G, D, C, M, K )</v>
      </c>
      <c r="CE64" s="129">
        <f>IF(SUM(CE$38:CE63)=0,CF64,0)</f>
        <v>0</v>
      </c>
      <c r="CF64" s="129">
        <f>IF(H$5&lt;54,0,IF(ISBLANK(F54)=TRUE,53,IF(F54=" ",0,IF(F54="H",0,53))))</f>
        <v>0</v>
      </c>
      <c r="CG64" s="128" t="s">
        <v>323</v>
      </c>
      <c r="CH64" s="129">
        <f>IF(SUM(CH$38:CH63)=0,CI64,0)</f>
        <v>0</v>
      </c>
      <c r="CI64" s="132">
        <f>IF($H$5&lt;54,0,IF(ISBLANK($E54)=TRUE,53,IF($E54="N",0,IF($E54=" ",0,53))))</f>
        <v>0</v>
      </c>
      <c r="CJ64" s="128" t="s">
        <v>460</v>
      </c>
      <c r="CK64" s="128"/>
      <c r="CL64" s="128"/>
      <c r="CM64" s="128"/>
      <c r="CN64" s="128"/>
      <c r="CO64" s="128"/>
      <c r="CP64" s="128"/>
      <c r="CQ64" s="32"/>
      <c r="CX64" s="58" t="s">
        <v>30</v>
      </c>
      <c r="CY64" s="58"/>
      <c r="CZ64" s="58" t="s">
        <v>49</v>
      </c>
      <c r="DA64" s="58" t="s">
        <v>186</v>
      </c>
      <c r="DB64" s="58" t="s">
        <v>186</v>
      </c>
      <c r="DC64" s="58"/>
      <c r="DD64" s="58" t="s">
        <v>49</v>
      </c>
      <c r="DE64" s="58" t="s">
        <v>60</v>
      </c>
      <c r="DF64" s="58" t="s">
        <v>60</v>
      </c>
      <c r="DG64" s="58" t="s">
        <v>77</v>
      </c>
      <c r="DH64" s="58" t="s">
        <v>77</v>
      </c>
      <c r="DJ64" s="22"/>
      <c r="DR64" s="62" t="s">
        <v>87</v>
      </c>
      <c r="DS64" s="62">
        <v>9</v>
      </c>
      <c r="DT64" s="62">
        <f t="shared" si="19"/>
        <v>0.15620000000000001</v>
      </c>
      <c r="DU64" s="22"/>
      <c r="DV64" s="62" t="s">
        <v>87</v>
      </c>
      <c r="DW64" s="62">
        <v>9</v>
      </c>
      <c r="DX64" s="63">
        <v>0.19009999999999999</v>
      </c>
      <c r="DY64" s="63">
        <v>0.26600000000000001</v>
      </c>
      <c r="DZ64" s="63">
        <v>0.15620000000000001</v>
      </c>
      <c r="EA64" s="63">
        <v>0.15340000000000001</v>
      </c>
      <c r="EB64" s="63">
        <v>0.16980000000000001</v>
      </c>
      <c r="EC64" s="63">
        <v>0.13519999999999999</v>
      </c>
      <c r="ED64" s="63">
        <v>0.1017</v>
      </c>
      <c r="EF64" s="58" t="s">
        <v>76</v>
      </c>
      <c r="EG64" s="58">
        <v>5</v>
      </c>
      <c r="EH64" s="82">
        <f>IF($EG$55="AL",EJ64,IF($EG$55="CU",EI64,"ERR"))</f>
        <v>0.80800000000000005</v>
      </c>
      <c r="EI64" s="82">
        <v>0.49099999999999999</v>
      </c>
      <c r="EJ64" s="82">
        <v>0.80800000000000005</v>
      </c>
      <c r="EK64" s="22"/>
      <c r="EL64" s="22"/>
      <c r="EM64" s="165">
        <v>2</v>
      </c>
      <c r="EN64" s="166">
        <v>1</v>
      </c>
      <c r="EO64" s="167" t="s">
        <v>134</v>
      </c>
      <c r="EP64" s="168">
        <f>EG$79</f>
        <v>0.50800000000000001</v>
      </c>
      <c r="EQ64" s="166" t="s">
        <v>135</v>
      </c>
      <c r="ER64" s="166">
        <f>IF(EG$59&gt;1,EN64/EP64,0)</f>
        <v>0</v>
      </c>
      <c r="ES64" s="166"/>
      <c r="ET64" s="169"/>
    </row>
    <row r="65" spans="1:150" ht="12" customHeight="1">
      <c r="A65" s="92"/>
      <c r="B65" s="106">
        <v>75</v>
      </c>
      <c r="C65" s="674"/>
      <c r="D65" s="671"/>
      <c r="E65" s="668" t="s">
        <v>12</v>
      </c>
      <c r="F65" s="675" t="s">
        <v>12</v>
      </c>
      <c r="G65" s="670" t="s">
        <v>394</v>
      </c>
      <c r="H65" s="669"/>
      <c r="I65" s="108" t="str">
        <f t="shared" si="11"/>
        <v>L2</v>
      </c>
      <c r="J65" s="669"/>
      <c r="K65" s="670" t="s">
        <v>394</v>
      </c>
      <c r="L65" s="675" t="s">
        <v>12</v>
      </c>
      <c r="M65" s="668" t="s">
        <v>12</v>
      </c>
      <c r="N65" s="671"/>
      <c r="O65" s="672"/>
      <c r="P65" s="106">
        <v>76</v>
      </c>
      <c r="Q65" s="92"/>
      <c r="T65" s="126">
        <f>IF($H$5&gt;74,1,0)</f>
        <v>1</v>
      </c>
      <c r="U65" s="126" t="str">
        <f>IF($H$8=1,"L2","L2")</f>
        <v>L2</v>
      </c>
      <c r="X65" s="133">
        <f>IF(T65=0,0,(H65+J65))</f>
        <v>0</v>
      </c>
      <c r="AB65" s="133">
        <f>IF(T65=0,0,IF(G65="G",H65,0))</f>
        <v>0</v>
      </c>
      <c r="AC65" s="133">
        <f>IF(T65=0,0,IF(K65="G",J65,0))</f>
        <v>0</v>
      </c>
      <c r="AH65" s="126">
        <f>IF(T65=0,0,IF(G65="D",H65,0))</f>
        <v>0</v>
      </c>
      <c r="AI65" s="126">
        <f>IF(T65=0,0,IF(K65="D",J65,0))</f>
        <v>0</v>
      </c>
      <c r="AN65" s="126">
        <f>IF(T65=0,0,IF(G65="C",H65,0))</f>
        <v>0</v>
      </c>
      <c r="AO65" s="126">
        <f>IF(T65=0,0,IF(K65="C",J65,0))</f>
        <v>0</v>
      </c>
      <c r="AR65" s="133">
        <f t="shared" si="12"/>
        <v>0</v>
      </c>
      <c r="AS65" s="133">
        <f t="shared" si="10"/>
        <v>0</v>
      </c>
      <c r="AV65" s="133">
        <f>IF(T65=0,0,IF(G65="M",H65,0))</f>
        <v>0</v>
      </c>
      <c r="AW65" s="133">
        <f>IF(T65=0,0,IF(K65="M",J65,0))</f>
        <v>0</v>
      </c>
      <c r="BA65" s="133"/>
      <c r="BB65" s="133"/>
      <c r="BC65" s="133">
        <f>IF(T65=0,0,IF(G65="K",H65,0))</f>
        <v>0</v>
      </c>
      <c r="BD65" s="133">
        <f>IF(T65=0,0,IF(K65="K",J65,0))</f>
        <v>0</v>
      </c>
      <c r="BE65" s="133"/>
      <c r="BF65" s="133"/>
      <c r="BK65" s="133"/>
      <c r="BL65" s="133"/>
      <c r="BM65" s="133">
        <f>IF(T65=0,0,IF(E65="N",H65,0))</f>
        <v>0</v>
      </c>
      <c r="BN65" s="133">
        <f>IF(T65=0,0,IF(M65="N",J65,0))</f>
        <v>0</v>
      </c>
      <c r="BO65" s="133"/>
      <c r="BP65" s="133"/>
      <c r="BQ65" s="133">
        <f>IF(T65=0,0,IF(E65="N",H65,0))</f>
        <v>0</v>
      </c>
      <c r="BR65" s="133">
        <f>IF(T65=0,0,IF(M65="N",J65,0))</f>
        <v>0</v>
      </c>
      <c r="BS65" s="133"/>
      <c r="BT65" s="133"/>
      <c r="BU65" s="133"/>
      <c r="BV65" s="133"/>
      <c r="BW65" s="133"/>
      <c r="BY65" s="130"/>
      <c r="BZ65" s="136"/>
      <c r="CA65" s="128">
        <f t="shared" si="20"/>
        <v>55</v>
      </c>
      <c r="CB65" s="129">
        <f>IF(SUM(CB$38:CB64)=0,CC65,0)</f>
        <v>0</v>
      </c>
      <c r="CC65" s="129">
        <f>IF(H$5&lt;56,0,IF(G55="G",0,IF(G55="C",0,IF(G55="M",0,IF(G55="K",0,IF(AND(OR($H$10="FULL",$H$10="AUTO"),G55="D"),0,55))))))</f>
        <v>0</v>
      </c>
      <c r="CD65" s="128" t="str">
        <f>IF($H$10="NONE","ENTER CIRCUIT #55 LOAD IDENTIFIER  ( G, C, M, K )","ENTER CIRCUIT #55 LOAD IDENTIFIER  ( G, D, C, M, K )")</f>
        <v>ENTER CIRCUIT #55 LOAD IDENTIFIER  ( G, D, C, M, K )</v>
      </c>
      <c r="CE65" s="129">
        <f>IF(SUM(CE$38:CE64)=0,CF65,0)</f>
        <v>0</v>
      </c>
      <c r="CF65" s="129">
        <f>IF(H$5&lt;56,0,IF(ISBLANK(F55)=TRUE,55,IF(F55=" ",0,IF(F55="H",0,55))))</f>
        <v>0</v>
      </c>
      <c r="CG65" s="128" t="s">
        <v>324</v>
      </c>
      <c r="CH65" s="129">
        <f>IF(SUM(CH$38:CH64)=0,CI65,0)</f>
        <v>0</v>
      </c>
      <c r="CI65" s="132">
        <f>IF($H$5&lt;56,0,IF(ISBLANK($E55)=TRUE,55,IF($E55="N",0,IF($E55=" ",0,55))))</f>
        <v>0</v>
      </c>
      <c r="CJ65" s="128" t="s">
        <v>461</v>
      </c>
      <c r="CK65" s="128"/>
      <c r="CL65" s="128"/>
      <c r="CM65" s="128"/>
      <c r="CN65" s="128"/>
      <c r="CO65" s="128"/>
      <c r="CP65" s="128"/>
      <c r="CQ65" s="32"/>
      <c r="CX65" s="62" t="s">
        <v>34</v>
      </c>
      <c r="CY65" s="62"/>
      <c r="CZ65" s="62" t="s">
        <v>188</v>
      </c>
      <c r="DA65" s="62" t="s">
        <v>68</v>
      </c>
      <c r="DB65" s="62" t="s">
        <v>68</v>
      </c>
      <c r="DC65" s="62"/>
      <c r="DD65" s="62" t="s">
        <v>188</v>
      </c>
      <c r="DE65" s="62" t="s">
        <v>68</v>
      </c>
      <c r="DF65" s="62" t="s">
        <v>68</v>
      </c>
      <c r="DG65" s="62" t="s">
        <v>68</v>
      </c>
      <c r="DH65" s="62" t="s">
        <v>68</v>
      </c>
      <c r="DJ65" s="22"/>
      <c r="DR65" s="62" t="s">
        <v>93</v>
      </c>
      <c r="DS65" s="62">
        <v>10</v>
      </c>
      <c r="DT65" s="62">
        <f t="shared" si="19"/>
        <v>0.1855</v>
      </c>
      <c r="DU65" s="22"/>
      <c r="DV65" s="62" t="s">
        <v>93</v>
      </c>
      <c r="DW65" s="62">
        <v>10</v>
      </c>
      <c r="DX65" s="63">
        <v>0.2223</v>
      </c>
      <c r="DY65" s="63">
        <v>0.3039</v>
      </c>
      <c r="DZ65" s="63">
        <v>0.1855</v>
      </c>
      <c r="EA65" s="63">
        <v>0.1825</v>
      </c>
      <c r="EB65" s="63">
        <v>0.1963</v>
      </c>
      <c r="EC65" s="63">
        <v>0.159</v>
      </c>
      <c r="ED65" s="63">
        <v>0.13519999999999999</v>
      </c>
      <c r="EF65" s="62" t="s">
        <v>80</v>
      </c>
      <c r="EG65" s="62">
        <v>6</v>
      </c>
      <c r="EH65" s="63">
        <f t="shared" si="21"/>
        <v>0.50800000000000001</v>
      </c>
      <c r="EI65" s="63">
        <v>0.308</v>
      </c>
      <c r="EJ65" s="63">
        <v>0.50800000000000001</v>
      </c>
      <c r="EK65" s="22"/>
      <c r="EL65" s="22"/>
      <c r="EM65" s="165">
        <v>3</v>
      </c>
      <c r="EN65" s="166">
        <v>1</v>
      </c>
      <c r="EO65" s="167" t="s">
        <v>134</v>
      </c>
      <c r="EP65" s="168">
        <f>EG$79</f>
        <v>0.50800000000000001</v>
      </c>
      <c r="EQ65" s="166" t="s">
        <v>135</v>
      </c>
      <c r="ER65" s="166">
        <f>IF(EG$59&gt;2,EN65/EP65,0)</f>
        <v>0</v>
      </c>
      <c r="ES65" s="166"/>
      <c r="ET65" s="169"/>
    </row>
    <row r="66" spans="1:150" ht="12" customHeight="1">
      <c r="A66" s="92"/>
      <c r="B66" s="106">
        <v>77</v>
      </c>
      <c r="C66" s="674"/>
      <c r="D66" s="671"/>
      <c r="E66" s="668" t="s">
        <v>12</v>
      </c>
      <c r="F66" s="675" t="s">
        <v>12</v>
      </c>
      <c r="G66" s="670" t="s">
        <v>394</v>
      </c>
      <c r="H66" s="669"/>
      <c r="I66" s="108" t="str">
        <f t="shared" si="11"/>
        <v>L3</v>
      </c>
      <c r="J66" s="669"/>
      <c r="K66" s="670" t="s">
        <v>394</v>
      </c>
      <c r="L66" s="675" t="s">
        <v>12</v>
      </c>
      <c r="M66" s="668" t="s">
        <v>12</v>
      </c>
      <c r="N66" s="671"/>
      <c r="O66" s="672"/>
      <c r="P66" s="106">
        <v>78</v>
      </c>
      <c r="Q66" s="92"/>
      <c r="T66" s="126">
        <f>IF($H$5&gt;76,1,0)</f>
        <v>1</v>
      </c>
      <c r="U66" s="126" t="str">
        <f>IF($H$8=1,"L1","L3")</f>
        <v>L3</v>
      </c>
      <c r="W66" s="133" t="str">
        <f>IF(T66=0,0,IF($H$8=1,(H66+J66)," "))</f>
        <v xml:space="preserve"> </v>
      </c>
      <c r="Y66" s="133">
        <f>IF(T66=0,0,IF($H$8=1," ",(H66+J66)))</f>
        <v>0</v>
      </c>
      <c r="Z66" s="133" t="str">
        <f>IF($H$8=1,IF(T66=0,0,IF(G66="G",H66,0))," ")</f>
        <v xml:space="preserve"> </v>
      </c>
      <c r="AA66" s="133" t="str">
        <f>IF($H$8=1,IF(T66=0,0,IF(K66="G",J66,0))," ")</f>
        <v xml:space="preserve"> </v>
      </c>
      <c r="AD66" s="133">
        <f>IF($H$8=1," ",IF(T66=0,0,IF(G66="G",H66,0)))</f>
        <v>0</v>
      </c>
      <c r="AE66" s="133">
        <f>IF($H$8=1," ",IF(T66=0,0,IF(K66="G",J66,0)))</f>
        <v>0</v>
      </c>
      <c r="AF66" s="126" t="str">
        <f>IF($H$8=1,IF(T66=0,0,IF(G66="D",H66,0))," ")</f>
        <v xml:space="preserve"> </v>
      </c>
      <c r="AG66" s="126" t="str">
        <f>IF($H$8=1,IF(T66=0,0,IF(K66="D",J66,0))," ")</f>
        <v xml:space="preserve"> </v>
      </c>
      <c r="AJ66" s="126">
        <f>IF($H$8=1," ",IF(T66=0,0,IF(G66="D",H66,0)))</f>
        <v>0</v>
      </c>
      <c r="AK66" s="126">
        <f>IF($H$8=1," ",IF(T66=0,0,IF(K66="D",J66,0)))</f>
        <v>0</v>
      </c>
      <c r="AL66" s="126" t="str">
        <f>IF($H$8=1,IF(T66=0,0,IF(G66="C",H66,0))," ")</f>
        <v xml:space="preserve"> </v>
      </c>
      <c r="AM66" s="126" t="str">
        <f>IF($H$8=1,IF(T66=0,0,IF(K66="C",J66,0))," ")</f>
        <v xml:space="preserve"> </v>
      </c>
      <c r="AP66" s="126">
        <f>IF($H$8=1," ",IF(T66=0,0,IF(G66="C",H66,0)))</f>
        <v>0</v>
      </c>
      <c r="AQ66" s="126">
        <f>IF($H$8=1," ",IF(T66=0,0,IF(K66="C",J66,0)))</f>
        <v>0</v>
      </c>
      <c r="AR66" s="133">
        <f t="shared" si="12"/>
        <v>0</v>
      </c>
      <c r="AS66" s="133">
        <f t="shared" si="10"/>
        <v>0</v>
      </c>
      <c r="AT66" s="133" t="str">
        <f>IF(T66=0,0,IF($H$8=1,IF(G66="M",H66,0)," "))</f>
        <v xml:space="preserve"> </v>
      </c>
      <c r="AU66" s="133" t="str">
        <f>IF(T66=0,0,IF($H$8=1,IF(K66="M",J66,0)," "))</f>
        <v xml:space="preserve"> </v>
      </c>
      <c r="AX66" s="133">
        <f>IF(T66=0,0,IF($H$8=1," ",IF(G66="M",H66,0)))</f>
        <v>0</v>
      </c>
      <c r="AY66" s="133">
        <f>IF(T66=0,0,IF($H$8=1," ",IF(K66="M",J66,0)))</f>
        <v>0</v>
      </c>
      <c r="BA66" s="133" t="str">
        <f>IF(T66=0,0,IF($H$8=1,IF(G66="K",H66,0)," "))</f>
        <v xml:space="preserve"> </v>
      </c>
      <c r="BB66" s="133" t="str">
        <f>IF(T66=0,0,IF($H$8=1,IF(K66="K",J66,0)," "))</f>
        <v xml:space="preserve"> </v>
      </c>
      <c r="BC66" s="133"/>
      <c r="BD66" s="133"/>
      <c r="BE66" s="133">
        <f>IF(T66=0,0,IF($H$8=1," ",IF(G66="K",H66,0)))</f>
        <v>0</v>
      </c>
      <c r="BF66" s="133">
        <f>IF(T66=0,0,IF($H$8=1," ",IF(K66="K",J66,0)))</f>
        <v>0</v>
      </c>
      <c r="BG66" s="126"/>
      <c r="BI66" s="133">
        <f>IF(T66=0,0,IF(E66="N",H66,0))</f>
        <v>0</v>
      </c>
      <c r="BJ66" s="133">
        <f>IF(T66=0,0,IF(M66="N",J66,0))</f>
        <v>0</v>
      </c>
      <c r="BK66" s="133">
        <f>IF(T66=0,0,IF(E66="N",H66,0))</f>
        <v>0</v>
      </c>
      <c r="BL66" s="133">
        <f>IF(T66=0,0,IF(M66="N",J66,0))</f>
        <v>0</v>
      </c>
      <c r="BM66" s="133"/>
      <c r="BN66" s="133"/>
      <c r="BO66" s="133"/>
      <c r="BP66" s="133"/>
      <c r="BQ66" s="133"/>
      <c r="BR66" s="133"/>
      <c r="BS66" s="133">
        <f>IF(T66=0,0,IF(E66="N",H66,0))</f>
        <v>0</v>
      </c>
      <c r="BT66" s="133">
        <f>IF(T66=0,0,IF(M66="N",J66,0))</f>
        <v>0</v>
      </c>
      <c r="BU66" s="133"/>
      <c r="BV66" s="133"/>
      <c r="BW66" s="133"/>
      <c r="BY66" s="130"/>
      <c r="BZ66" s="136"/>
      <c r="CA66" s="128">
        <f t="shared" si="20"/>
        <v>57</v>
      </c>
      <c r="CB66" s="129">
        <f>IF(SUM(CB$38:CB65)=0,CC66,0)</f>
        <v>0</v>
      </c>
      <c r="CC66" s="129">
        <f>IF(H$5&lt;58,0,IF(G56="G",0,IF(G56="C",0,IF(G56="M",0,IF(G56="K",0,IF(AND(OR($H$10="FULL",$H$10="AUTO"),OR($H$8=1,$H$8="3Y"),G56="D"),0,57))))))</f>
        <v>0</v>
      </c>
      <c r="CD66" s="128" t="str">
        <f>IF($H$10="NONE","ENTER CIRCUIT #57 LOAD IDENTIFIER  ( G, C, M, K )",IF($H$8="3D","ENTER CIRCUIT #57 LOAD IDENTIFIER  ( G, C, M, K )","ENTER CIRCUIT #57 LOAD IDENTIFIER  ( G, D, C, M, K )"))</f>
        <v>ENTER CIRCUIT #57 LOAD IDENTIFIER  ( G, D, C, M, K )</v>
      </c>
      <c r="CE66" s="129">
        <f>IF(SUM(CE$38:CE65)=0,CF66,0)</f>
        <v>0</v>
      </c>
      <c r="CF66" s="129">
        <f>IF(H$5&lt;58,0,IF(ISBLANK(F56)=TRUE,57,IF(F56=" ",0,IF(F56="H",0,57))))</f>
        <v>0</v>
      </c>
      <c r="CG66" s="128" t="s">
        <v>325</v>
      </c>
      <c r="CH66" s="129">
        <f>IF(SUM(CH$38:CH65)=0,CI66,0)</f>
        <v>0</v>
      </c>
      <c r="CI66" s="132">
        <f>IF($H$5&lt;58,0,IF(ISBLANK($E56)=TRUE,57,IF($E56=" ",0,IF(AND($H$8&lt;&gt;"3D",$E56="N"),0,57))))</f>
        <v>0</v>
      </c>
      <c r="CJ66" s="128" t="str">
        <f>IF($H$8&lt;&gt;"3D","ENTER CIRCUIT #57 NEUTRAL IDENTIFIER  ( N or SPACE )","ENTER CIRCUIT #57 NEUTRAL IDENTIFIER  ( SPACE )")</f>
        <v>ENTER CIRCUIT #57 NEUTRAL IDENTIFIER  ( N or SPACE )</v>
      </c>
      <c r="CK66" s="128"/>
      <c r="CL66" s="128"/>
      <c r="CM66" s="128"/>
      <c r="CN66" s="128"/>
      <c r="CO66" s="128"/>
      <c r="CP66" s="128"/>
      <c r="CQ66" s="32"/>
      <c r="CX66" s="62" t="s">
        <v>48</v>
      </c>
      <c r="CY66" s="62"/>
      <c r="CZ66" s="62" t="s">
        <v>190</v>
      </c>
      <c r="DA66" s="62" t="s">
        <v>38</v>
      </c>
      <c r="DB66" s="62" t="s">
        <v>7</v>
      </c>
      <c r="DC66" s="62"/>
      <c r="DD66" s="62" t="s">
        <v>190</v>
      </c>
      <c r="DE66" s="62" t="s">
        <v>38</v>
      </c>
      <c r="DF66" s="62" t="s">
        <v>7</v>
      </c>
      <c r="DG66" s="62" t="s">
        <v>38</v>
      </c>
      <c r="DH66" s="62" t="s">
        <v>7</v>
      </c>
      <c r="DJ66" s="22"/>
      <c r="DR66" s="62" t="s">
        <v>97</v>
      </c>
      <c r="DS66" s="62">
        <v>11</v>
      </c>
      <c r="DT66" s="62">
        <f t="shared" si="19"/>
        <v>0.2223</v>
      </c>
      <c r="DU66" s="22"/>
      <c r="DV66" s="62" t="s">
        <v>97</v>
      </c>
      <c r="DW66" s="62">
        <v>11</v>
      </c>
      <c r="DX66" s="63">
        <v>0.26240000000000002</v>
      </c>
      <c r="DY66" s="63">
        <v>0.35049999999999998</v>
      </c>
      <c r="DZ66" s="63">
        <v>0.2223</v>
      </c>
      <c r="EA66" s="63">
        <v>0.219</v>
      </c>
      <c r="EB66" s="63">
        <v>0.23319999999999999</v>
      </c>
      <c r="EC66" s="63">
        <v>0.19239999999999999</v>
      </c>
      <c r="ED66" s="63">
        <v>0.159</v>
      </c>
      <c r="EF66" s="62" t="str">
        <f>IF(EF28="AL",EF65,"#3")</f>
        <v>#3</v>
      </c>
      <c r="EG66" s="62">
        <f>IF(EF28="AL",EG65,7)</f>
        <v>7</v>
      </c>
      <c r="EH66" s="63">
        <f t="shared" si="21"/>
        <v>0.40300000000000002</v>
      </c>
      <c r="EI66" s="63">
        <v>0.245</v>
      </c>
      <c r="EJ66" s="63">
        <v>0.40300000000000002</v>
      </c>
      <c r="EK66" s="22"/>
      <c r="EL66" s="22"/>
      <c r="EM66" s="165">
        <v>4</v>
      </c>
      <c r="EN66" s="166">
        <v>1</v>
      </c>
      <c r="EO66" s="167" t="s">
        <v>134</v>
      </c>
      <c r="EP66" s="168">
        <f>EG$79</f>
        <v>0.50800000000000001</v>
      </c>
      <c r="EQ66" s="166" t="s">
        <v>135</v>
      </c>
      <c r="ER66" s="166">
        <f>IF(EG$59&gt;3,EN66/EP66,0)</f>
        <v>0</v>
      </c>
      <c r="ES66" s="166"/>
      <c r="ET66" s="169"/>
    </row>
    <row r="67" spans="1:150" ht="14.1" customHeight="1">
      <c r="A67" s="92"/>
      <c r="B67" s="106">
        <v>79</v>
      </c>
      <c r="C67" s="674"/>
      <c r="D67" s="671"/>
      <c r="E67" s="668" t="s">
        <v>12</v>
      </c>
      <c r="F67" s="675" t="s">
        <v>12</v>
      </c>
      <c r="G67" s="670" t="s">
        <v>394</v>
      </c>
      <c r="H67" s="669"/>
      <c r="I67" s="108" t="str">
        <f t="shared" si="11"/>
        <v>L1</v>
      </c>
      <c r="J67" s="669"/>
      <c r="K67" s="670" t="s">
        <v>394</v>
      </c>
      <c r="L67" s="675" t="s">
        <v>12</v>
      </c>
      <c r="M67" s="668" t="s">
        <v>12</v>
      </c>
      <c r="N67" s="671"/>
      <c r="O67" s="672"/>
      <c r="P67" s="106">
        <v>80</v>
      </c>
      <c r="Q67" s="92"/>
      <c r="T67" s="126">
        <f>IF($H$5&gt;78,1,0)</f>
        <v>1</v>
      </c>
      <c r="U67" s="126" t="str">
        <f>IF($H$8=1,"L2","L1")</f>
        <v>L1</v>
      </c>
      <c r="W67" s="133">
        <f>IF(T67=0,0,IF($H$8=1," ",(H67+J67)))</f>
        <v>0</v>
      </c>
      <c r="X67" s="133" t="str">
        <f>IF(T67=0,0,IF($H$8=1,(H67+J67)," "))</f>
        <v xml:space="preserve"> </v>
      </c>
      <c r="Z67" s="133">
        <f>IF($H$8=1," ",IF(T67=0,0,IF(G67="G",H67,0)))</f>
        <v>0</v>
      </c>
      <c r="AA67" s="133">
        <f>IF($H$8=1," ",IF(T67=0,0,IF(K67="G",J67,0)))</f>
        <v>0</v>
      </c>
      <c r="AB67" s="133" t="str">
        <f>IF($H$8=1,IF(T67=0,0,IF(G67="G",H67,0))," ")</f>
        <v xml:space="preserve"> </v>
      </c>
      <c r="AC67" s="133" t="str">
        <f>IF($H$8=1,IF(T67=0,0,IF(K67="G",J67,0))," ")</f>
        <v xml:space="preserve"> </v>
      </c>
      <c r="AF67" s="126">
        <f>IF($H$8=1," ",IF(T67=0,0,IF(G67="D",H67,0)))</f>
        <v>0</v>
      </c>
      <c r="AG67" s="126">
        <f>IF($H$8=1," ",IF(T67=0,0,IF(K67="D",J67,0)))</f>
        <v>0</v>
      </c>
      <c r="AH67" s="126" t="str">
        <f>IF($H$8=1,IF(T67=0,0,IF(G67="D",H67,0))," ")</f>
        <v xml:space="preserve"> </v>
      </c>
      <c r="AI67" s="126" t="str">
        <f>IF($H$8=1,IF(T67=0,0,IF(K67="D",J67,0))," ")</f>
        <v xml:space="preserve"> </v>
      </c>
      <c r="AL67" s="126">
        <f>IF($H$8=1," ",IF(T67=0,0,IF(G67="C",H67,0)))</f>
        <v>0</v>
      </c>
      <c r="AM67" s="126">
        <f>IF($H$8=1," ",IF(T67=0,0,IF(K67="C",J67,0)))</f>
        <v>0</v>
      </c>
      <c r="AN67" s="126" t="str">
        <f>IF($H$8=1,IF(T67=0,0,IF(G67="C",H67,0))," ")</f>
        <v xml:space="preserve"> </v>
      </c>
      <c r="AO67" s="126" t="str">
        <f>IF($H$8=1,IF(T67=0,0,IF(K67="C",J67,0))," ")</f>
        <v xml:space="preserve"> </v>
      </c>
      <c r="AR67" s="133">
        <f t="shared" si="12"/>
        <v>0</v>
      </c>
      <c r="AS67" s="133">
        <f t="shared" si="10"/>
        <v>0</v>
      </c>
      <c r="AT67" s="133">
        <f>IF(T67=0,0,IF($H$8=1," ",IF(G67="M",H67,0)))</f>
        <v>0</v>
      </c>
      <c r="AU67" s="133">
        <f>IF(T67=0,0,IF($H$8=1," ",IF(K67="M",J67,0)))</f>
        <v>0</v>
      </c>
      <c r="AV67" s="133" t="str">
        <f>IF(T67=0,0,IF($H$8=1,IF(G67="M",H67,0)," "))</f>
        <v xml:space="preserve"> </v>
      </c>
      <c r="AW67" s="133" t="str">
        <f>IF(T67=0,0,IF($H$8=1,IF(K67="M",J67,0)," "))</f>
        <v xml:space="preserve"> </v>
      </c>
      <c r="BA67" s="133">
        <f>IF(T67=0,0,IF($H$8=1," ",IF(G67="K",H67,0)))</f>
        <v>0</v>
      </c>
      <c r="BB67" s="133">
        <f>IF(T67=0,0,IF($H$8=1," ",IF(K67="K",J67,0)))</f>
        <v>0</v>
      </c>
      <c r="BC67" s="133" t="str">
        <f>IF(T67=0,0,IF($H$8=1,IF(G67="K",H67,0)," "))</f>
        <v xml:space="preserve"> </v>
      </c>
      <c r="BD67" s="133" t="str">
        <f>IF(T67=0,0,IF($H$8=1,IF(K67="K",J67,0)," "))</f>
        <v xml:space="preserve"> </v>
      </c>
      <c r="BE67" s="133"/>
      <c r="BF67" s="133"/>
      <c r="BG67" s="126">
        <f>IF(T67=0,0,IF(E67="N",H67,0))</f>
        <v>0</v>
      </c>
      <c r="BH67" s="133">
        <f>IF(T67=0,0,IF(M67="N",J67,0))</f>
        <v>0</v>
      </c>
      <c r="BK67" s="133"/>
      <c r="BL67" s="133"/>
      <c r="BM67" s="133">
        <f>IF(T67=0,0,IF(E67="N",H67,0))</f>
        <v>0</v>
      </c>
      <c r="BN67" s="133">
        <f>IF(T67=0,0,IF(M67="N",J67,0))</f>
        <v>0</v>
      </c>
      <c r="BO67" s="133">
        <f>IF(T67=0,0,IF(E67="N",H67,0))</f>
        <v>0</v>
      </c>
      <c r="BP67" s="133">
        <f>IF(T67=0,0,IF(M67="N",J67,0))</f>
        <v>0</v>
      </c>
      <c r="BQ67" s="133"/>
      <c r="BR67" s="133"/>
      <c r="BS67" s="133"/>
      <c r="BT67" s="133"/>
      <c r="BU67" s="133"/>
      <c r="BV67" s="133"/>
      <c r="BW67" s="133"/>
      <c r="BY67" s="130"/>
      <c r="BZ67" s="136"/>
      <c r="CA67" s="128">
        <f t="shared" si="20"/>
        <v>59</v>
      </c>
      <c r="CB67" s="129">
        <f>IF(SUM(CB$38:CB66)=0,CC67,0)</f>
        <v>0</v>
      </c>
      <c r="CC67" s="129">
        <f>IF(H$5&lt;60,0,IF(G57="G",0,IF(G57="C",0,IF(G57="M",0,IF(G57="K",0,IF(AND(OR($H$10="FULL",$H$10="AUTO"),G57="D"),0,59))))))</f>
        <v>0</v>
      </c>
      <c r="CD67" s="128" t="str">
        <f>IF($H$10="NONE","ENTER CIRCUIT #59 LOAD IDENTIFIER  ( G, C, M, K )","ENTER CIRCUIT #59 LOAD IDENTIFIER  ( G, D, C, M, K )")</f>
        <v>ENTER CIRCUIT #59 LOAD IDENTIFIER  ( G, D, C, M, K )</v>
      </c>
      <c r="CE67" s="129">
        <f>IF(SUM(CE$38:CE66)=0,CF67,0)</f>
        <v>0</v>
      </c>
      <c r="CF67" s="129">
        <f>IF(H$5&lt;60,0,IF(ISBLANK(F57)=TRUE,59,IF(F57=" ",0,IF(F57="H",0,59))))</f>
        <v>0</v>
      </c>
      <c r="CG67" s="128" t="s">
        <v>326</v>
      </c>
      <c r="CH67" s="129">
        <f>IF(SUM(CH$38:CH66)=0,CI67,0)</f>
        <v>0</v>
      </c>
      <c r="CI67" s="132">
        <f>IF($H$5&lt;60,0,IF(ISBLANK($E57)=TRUE,59,IF($E57="N",0,IF($E57=" ",0,59))))</f>
        <v>0</v>
      </c>
      <c r="CJ67" s="128" t="s">
        <v>462</v>
      </c>
      <c r="CK67" s="128"/>
      <c r="CL67" s="128"/>
      <c r="CM67" s="128"/>
      <c r="CN67" s="128"/>
      <c r="CO67" s="128"/>
      <c r="CP67" s="128"/>
      <c r="CQ67" s="32"/>
      <c r="CX67" s="58">
        <v>0</v>
      </c>
      <c r="CY67" s="58"/>
      <c r="CZ67" s="58">
        <v>60</v>
      </c>
      <c r="DA67" s="58" t="str">
        <f t="shared" ref="DA67:DB76" si="22">IF($CY$62="CU",DE67,IF($CY$62="AL",DG67,"ERR"))</f>
        <v>#8</v>
      </c>
      <c r="DB67" s="58">
        <f t="shared" si="22"/>
        <v>4</v>
      </c>
      <c r="DC67" s="58"/>
      <c r="DD67" s="58">
        <v>60</v>
      </c>
      <c r="DE67" s="58" t="s">
        <v>169</v>
      </c>
      <c r="DF67" s="58">
        <v>3</v>
      </c>
      <c r="DG67" s="58" t="s">
        <v>173</v>
      </c>
      <c r="DH67" s="58">
        <v>4</v>
      </c>
      <c r="DJ67" s="22"/>
      <c r="DR67" s="62" t="s">
        <v>101</v>
      </c>
      <c r="DS67" s="62">
        <v>12</v>
      </c>
      <c r="DT67" s="62">
        <f t="shared" si="19"/>
        <v>0.26790000000000003</v>
      </c>
      <c r="DU67" s="22"/>
      <c r="DV67" s="62" t="s">
        <v>101</v>
      </c>
      <c r="DW67" s="62">
        <v>12</v>
      </c>
      <c r="DX67" s="63">
        <v>0.31169999999999998</v>
      </c>
      <c r="DY67" s="63">
        <v>0.40720000000000001</v>
      </c>
      <c r="DZ67" s="63">
        <v>0.26790000000000003</v>
      </c>
      <c r="EA67" s="63">
        <v>0.26419999999999999</v>
      </c>
      <c r="EB67" s="63">
        <v>0.27329999999999999</v>
      </c>
      <c r="EC67" s="63">
        <v>0.22900000000000001</v>
      </c>
      <c r="ED67" s="63">
        <v>0.1885</v>
      </c>
      <c r="EF67" s="62" t="s">
        <v>83</v>
      </c>
      <c r="EG67" s="62">
        <v>8</v>
      </c>
      <c r="EH67" s="63">
        <f t="shared" si="21"/>
        <v>0.31900000000000001</v>
      </c>
      <c r="EI67" s="63">
        <v>0.19400000000000001</v>
      </c>
      <c r="EJ67" s="63">
        <v>0.31900000000000001</v>
      </c>
      <c r="EK67" s="22"/>
      <c r="EL67" s="22"/>
      <c r="EM67" s="165">
        <v>5</v>
      </c>
      <c r="EN67" s="166">
        <v>1</v>
      </c>
      <c r="EO67" s="167" t="s">
        <v>134</v>
      </c>
      <c r="EP67" s="168">
        <f>EG$79</f>
        <v>0.50800000000000001</v>
      </c>
      <c r="EQ67" s="166" t="s">
        <v>135</v>
      </c>
      <c r="ER67" s="166">
        <f>IF(EG$59&gt;4,EN67/EP67,0)</f>
        <v>0</v>
      </c>
      <c r="ES67" s="166"/>
      <c r="ET67" s="169"/>
    </row>
    <row r="68" spans="1:150" ht="14.1" customHeight="1">
      <c r="A68" s="92"/>
      <c r="B68" s="106">
        <v>81</v>
      </c>
      <c r="C68" s="674"/>
      <c r="D68" s="671"/>
      <c r="E68" s="668" t="s">
        <v>12</v>
      </c>
      <c r="F68" s="675" t="s">
        <v>12</v>
      </c>
      <c r="G68" s="670" t="s">
        <v>394</v>
      </c>
      <c r="H68" s="669"/>
      <c r="I68" s="108" t="str">
        <f t="shared" si="11"/>
        <v>L2</v>
      </c>
      <c r="J68" s="669"/>
      <c r="K68" s="670" t="s">
        <v>394</v>
      </c>
      <c r="L68" s="675" t="s">
        <v>12</v>
      </c>
      <c r="M68" s="668" t="s">
        <v>12</v>
      </c>
      <c r="N68" s="671"/>
      <c r="O68" s="672"/>
      <c r="P68" s="106">
        <v>82</v>
      </c>
      <c r="Q68" s="92"/>
      <c r="T68" s="126">
        <f>IF($H$5&gt;80,1,0)</f>
        <v>1</v>
      </c>
      <c r="U68" s="126" t="str">
        <f>IF($H$8=1,"L1","L2")</f>
        <v>L2</v>
      </c>
      <c r="W68" s="133" t="str">
        <f>IF(T68=0,0,IF($H$8=1,(H68+J68)," "))</f>
        <v xml:space="preserve"> </v>
      </c>
      <c r="X68" s="133">
        <f>IF(T68=0,0,IF($H$8=1," ",(H68+J68)))</f>
        <v>0</v>
      </c>
      <c r="Z68" s="133" t="str">
        <f>IF($H$8=1,IF(T68=0,0,IF(G68="G",H68,0))," ")</f>
        <v xml:space="preserve"> </v>
      </c>
      <c r="AA68" s="133" t="str">
        <f>IF($H$8=1,IF(T68=0,0,IF(K68="G",J68,0))," ")</f>
        <v xml:space="preserve"> </v>
      </c>
      <c r="AB68" s="133">
        <f>IF($H$8=1," ",IF(T68=0,0,IF(G68="G",H68,0)))</f>
        <v>0</v>
      </c>
      <c r="AC68" s="133">
        <f>IF($H$8=1," ",IF(T68=0,0,IF(K68="G",J68,0)))</f>
        <v>0</v>
      </c>
      <c r="AF68" s="126" t="str">
        <f>IF($H$8=1,IF(T68=0,0,IF(G68="D",H68,0))," ")</f>
        <v xml:space="preserve"> </v>
      </c>
      <c r="AG68" s="126" t="str">
        <f>IF($H$8=1,IF(T68=0,0,IF(K68="D",J68,0))," ")</f>
        <v xml:space="preserve"> </v>
      </c>
      <c r="AH68" s="126">
        <f>IF($H$8=1," ",IF(T68=0,0,IF(G68="D",H68,0)))</f>
        <v>0</v>
      </c>
      <c r="AI68" s="126">
        <f>IF($H$8=1," ",IF(T68=0,0,IF(K68="D",J68,0)))</f>
        <v>0</v>
      </c>
      <c r="AL68" s="126" t="str">
        <f>IF($H$8=1,IF(T68=0,0,IF(G68="C",H68,0))," ")</f>
        <v xml:space="preserve"> </v>
      </c>
      <c r="AM68" s="126" t="str">
        <f>IF($H$8=1,IF(T68=0,0,IF(K68="C",J68,0))," ")</f>
        <v xml:space="preserve"> </v>
      </c>
      <c r="AN68" s="126">
        <f>IF($H$8=1," ",IF(T68=0,0,IF(G68="C",H68,0)))</f>
        <v>0</v>
      </c>
      <c r="AO68" s="126">
        <f>IF($H$8=1," ",IF(T68=0,0,IF(K68="C",J68,0)))</f>
        <v>0</v>
      </c>
      <c r="AR68" s="133">
        <f t="shared" si="12"/>
        <v>0</v>
      </c>
      <c r="AS68" s="133">
        <f t="shared" si="10"/>
        <v>0</v>
      </c>
      <c r="AT68" s="133" t="str">
        <f>IF(T68=0,0,IF($H$8=1,IF(G68="M",H68,0)," "))</f>
        <v xml:space="preserve"> </v>
      </c>
      <c r="AU68" s="133" t="str">
        <f>IF(T68=0,0,IF($H$8=1,IF(K68="M",J68,0)," "))</f>
        <v xml:space="preserve"> </v>
      </c>
      <c r="AV68" s="133">
        <f>IF(T68=0,0,IF($H$8=1," ",IF(G68="M",H68,0)))</f>
        <v>0</v>
      </c>
      <c r="AW68" s="133">
        <f>IF(T68=0,0,IF($H$8=1," ",IF(K68="M",J68,0)))</f>
        <v>0</v>
      </c>
      <c r="BA68" s="133" t="str">
        <f>IF(T68=0,0,IF($H$8=1,IF(G68="K",H68,0)," "))</f>
        <v xml:space="preserve"> </v>
      </c>
      <c r="BB68" s="133" t="str">
        <f>IF(T68=0,0,IF($H$8=1,IF(K68="K",J68,0)," "))</f>
        <v xml:space="preserve"> </v>
      </c>
      <c r="BC68" s="133">
        <f>IF(T68=0,0,IF($H$8=1," ",IF(G68="K",H68,0)))</f>
        <v>0</v>
      </c>
      <c r="BD68" s="133">
        <f>IF(T68=0,0,IF($H$8=1," ",IF(K68="K",J68,0)))</f>
        <v>0</v>
      </c>
      <c r="BE68" s="133"/>
      <c r="BF68" s="133"/>
      <c r="BK68" s="133">
        <f>IF(T68=0,0,IF(E68="N",H68,0))</f>
        <v>0</v>
      </c>
      <c r="BL68" s="133">
        <f>IF(T68=0,0,IF(M68="N",J68,0))</f>
        <v>0</v>
      </c>
      <c r="BM68" s="133"/>
      <c r="BN68" s="133"/>
      <c r="BO68" s="133"/>
      <c r="BP68" s="133"/>
      <c r="BQ68" s="133">
        <f>IF(T68=0,0,IF(E68="N",H68,0))</f>
        <v>0</v>
      </c>
      <c r="BR68" s="133">
        <f>IF(T68=0,0,IF(M68="N",J68,0))</f>
        <v>0</v>
      </c>
      <c r="BS68" s="133"/>
      <c r="BT68" s="133"/>
      <c r="BU68" s="133"/>
      <c r="BV68" s="133"/>
      <c r="BW68" s="133"/>
      <c r="BY68" s="130"/>
      <c r="BZ68" s="136"/>
      <c r="CA68" s="128">
        <f t="shared" si="20"/>
        <v>61</v>
      </c>
      <c r="CB68" s="129">
        <f>IF(SUM(CB$38:CB67)=0,CC68,0)</f>
        <v>0</v>
      </c>
      <c r="CC68" s="129">
        <f>IF(H$5&lt;62,0,IF(G58="G",0,IF(G58="C",0,IF(G58="M",0,IF(G58="K",0,IF(AND(OR($H$10="FULL",$H$10="AUTO"),G58="D"),0,61))))))</f>
        <v>0</v>
      </c>
      <c r="CD68" s="128" t="str">
        <f>IF($H$10="NONE","ENTER CIRCUIT #61 LOAD IDENTIFIER  ( G, C, M, K )","ENTER CIRCUIT #61 LOAD IDENTIFIER  ( G, D, C, M, K )")</f>
        <v>ENTER CIRCUIT #61 LOAD IDENTIFIER  ( G, D, C, M, K )</v>
      </c>
      <c r="CE68" s="129">
        <f>IF(SUM(CE$38:CE67)=0,CF68,0)</f>
        <v>0</v>
      </c>
      <c r="CF68" s="129">
        <f>IF(H$5&lt;62,0,IF(ISBLANK(F58)=TRUE,61,IF(F58=" ",0,IF(F58="H",0,61))))</f>
        <v>0</v>
      </c>
      <c r="CG68" s="128" t="s">
        <v>327</v>
      </c>
      <c r="CH68" s="129">
        <f>IF(SUM(CH$38:CH67)=0,CI68,0)</f>
        <v>0</v>
      </c>
      <c r="CI68" s="132">
        <f>IF($H$5&lt;62,0,IF(ISBLANK($E58)=TRUE,61,IF($E58="N",0,IF($E58=" ",0,61))))</f>
        <v>0</v>
      </c>
      <c r="CJ68" s="128" t="s">
        <v>463</v>
      </c>
      <c r="CK68" s="128"/>
      <c r="CL68" s="128"/>
      <c r="CM68" s="128"/>
      <c r="CN68" s="128"/>
      <c r="CO68" s="128"/>
      <c r="CP68" s="128"/>
      <c r="CQ68" s="32"/>
      <c r="CX68" s="62">
        <f t="shared" ref="CX68:CX76" si="23">CZ67+0.00001</f>
        <v>60.000010000000003</v>
      </c>
      <c r="CY68" s="62"/>
      <c r="CZ68" s="62">
        <v>100</v>
      </c>
      <c r="DA68" s="62" t="str">
        <f t="shared" si="22"/>
        <v>#6</v>
      </c>
      <c r="DB68" s="62">
        <f t="shared" si="22"/>
        <v>5</v>
      </c>
      <c r="DC68" s="62"/>
      <c r="DD68" s="62">
        <v>100</v>
      </c>
      <c r="DE68" s="62" t="s">
        <v>173</v>
      </c>
      <c r="DF68" s="62">
        <v>4</v>
      </c>
      <c r="DG68" s="62" t="s">
        <v>76</v>
      </c>
      <c r="DH68" s="62">
        <v>5</v>
      </c>
      <c r="DJ68" s="22"/>
      <c r="DR68" s="62" t="s">
        <v>103</v>
      </c>
      <c r="DS68" s="62">
        <v>13</v>
      </c>
      <c r="DT68" s="62">
        <f t="shared" si="19"/>
        <v>0.32369999999999999</v>
      </c>
      <c r="DU68" s="22"/>
      <c r="DV68" s="62" t="s">
        <v>103</v>
      </c>
      <c r="DW68" s="62">
        <v>13</v>
      </c>
      <c r="DX68" s="63">
        <v>0.37180000000000002</v>
      </c>
      <c r="DY68" s="63">
        <v>0.47539999999999999</v>
      </c>
      <c r="DZ68" s="63">
        <v>0.32369999999999999</v>
      </c>
      <c r="EA68" s="63">
        <v>0.31969999999999998</v>
      </c>
      <c r="EB68" s="63">
        <v>0.32669999999999999</v>
      </c>
      <c r="EC68" s="63">
        <v>0.27800000000000002</v>
      </c>
      <c r="ED68" s="63">
        <v>0.22900000000000001</v>
      </c>
      <c r="EF68" s="62" t="s">
        <v>87</v>
      </c>
      <c r="EG68" s="62">
        <v>9</v>
      </c>
      <c r="EH68" s="63">
        <f t="shared" si="21"/>
        <v>0.253</v>
      </c>
      <c r="EI68" s="63">
        <v>0.154</v>
      </c>
      <c r="EJ68" s="63">
        <v>0.253</v>
      </c>
      <c r="EK68" s="22"/>
      <c r="EL68" s="22"/>
      <c r="EM68" s="165">
        <v>6</v>
      </c>
      <c r="EN68" s="166">
        <v>1</v>
      </c>
      <c r="EO68" s="167" t="s">
        <v>134</v>
      </c>
      <c r="EP68" s="168">
        <f>EG$79</f>
        <v>0.50800000000000001</v>
      </c>
      <c r="EQ68" s="166" t="s">
        <v>135</v>
      </c>
      <c r="ER68" s="166">
        <f>IF(EG$59&gt;5,EN68/EP68,0)</f>
        <v>0</v>
      </c>
      <c r="ES68" s="166"/>
      <c r="ET68" s="169"/>
    </row>
    <row r="69" spans="1:150" ht="14.1" customHeight="1">
      <c r="A69" s="92"/>
      <c r="B69" s="106">
        <v>83</v>
      </c>
      <c r="C69" s="674"/>
      <c r="D69" s="671"/>
      <c r="E69" s="668" t="s">
        <v>12</v>
      </c>
      <c r="F69" s="675" t="s">
        <v>12</v>
      </c>
      <c r="G69" s="670" t="s">
        <v>394</v>
      </c>
      <c r="H69" s="669"/>
      <c r="I69" s="108" t="str">
        <f t="shared" si="11"/>
        <v>L3</v>
      </c>
      <c r="J69" s="669"/>
      <c r="K69" s="670" t="s">
        <v>394</v>
      </c>
      <c r="L69" s="675" t="s">
        <v>12</v>
      </c>
      <c r="M69" s="668" t="s">
        <v>12</v>
      </c>
      <c r="N69" s="671"/>
      <c r="O69" s="672"/>
      <c r="P69" s="106">
        <v>84</v>
      </c>
      <c r="Q69" s="92"/>
      <c r="T69" s="126">
        <f>IF($H$5&gt;82,1,0)</f>
        <v>1</v>
      </c>
      <c r="U69" s="126" t="str">
        <f>IF($H$8=1,"L2","L3")</f>
        <v>L3</v>
      </c>
      <c r="X69" s="133" t="str">
        <f>IF(T69=0,0,IF($H$8=1,(H69+J69)," "))</f>
        <v xml:space="preserve"> </v>
      </c>
      <c r="Y69" s="133">
        <f>IF(T69=0,0,IF($H$8=1," ",(H69+J69)))</f>
        <v>0</v>
      </c>
      <c r="AB69" s="133" t="str">
        <f>IF($H$8=1,IF(T69=0,0,IF(G69="G",H69,0))," ")</f>
        <v xml:space="preserve"> </v>
      </c>
      <c r="AC69" s="133" t="str">
        <f>IF($H$8=1,IF(T69=0,0,IF(K69="G",J69,0))," ")</f>
        <v xml:space="preserve"> </v>
      </c>
      <c r="AD69" s="133">
        <f>IF($H$8=1," ",IF(T69=0,0,IF(G69="G",H69,0)))</f>
        <v>0</v>
      </c>
      <c r="AE69" s="133">
        <f>IF($H$8=1," ",IF(T69=0,0,IF(K69="G",J69,0)))</f>
        <v>0</v>
      </c>
      <c r="AH69" s="126" t="str">
        <f>IF($H$8=1,IF(T69=0,0,IF(G69="D",H69,0))," ")</f>
        <v xml:space="preserve"> </v>
      </c>
      <c r="AI69" s="126" t="str">
        <f>IF($H$8=1,IF(T69=0,0,IF(K69="D",J69,0))," ")</f>
        <v xml:space="preserve"> </v>
      </c>
      <c r="AJ69" s="126">
        <f>IF($H$8=1," ",IF(T69=0,0,IF(G69="D",H69,0)))</f>
        <v>0</v>
      </c>
      <c r="AK69" s="126">
        <f>IF($H$8=1," ",IF(T69=0,0,IF(K69="D",J69,0)))</f>
        <v>0</v>
      </c>
      <c r="AN69" s="126" t="str">
        <f>IF($H$8=1,IF(T69=0,0,IF(G69="C",H69,0))," ")</f>
        <v xml:space="preserve"> </v>
      </c>
      <c r="AO69" s="126" t="str">
        <f>IF($H$8=1,IF(T69=0,0,IF(K69="C",J69,0))," ")</f>
        <v xml:space="preserve"> </v>
      </c>
      <c r="AP69" s="126">
        <f>IF($H$8=1," ",IF(T69=0,0,IF(G69="C",H69,0)))</f>
        <v>0</v>
      </c>
      <c r="AQ69" s="126">
        <f>IF($H$8=1," ",IF(T69=0,0,IF(K69="C",J69,0)))</f>
        <v>0</v>
      </c>
      <c r="AR69" s="133">
        <f t="shared" si="12"/>
        <v>0</v>
      </c>
      <c r="AS69" s="133">
        <f t="shared" si="10"/>
        <v>0</v>
      </c>
      <c r="AV69" s="133" t="str">
        <f>IF(T69=0,0,IF($H$8=1,IF(G69="M",H69,0)," "))</f>
        <v xml:space="preserve"> </v>
      </c>
      <c r="AW69" s="133" t="str">
        <f>IF(T69=0,0,IF($H$8=1,IF(K69="M",J69,0)," "))</f>
        <v xml:space="preserve"> </v>
      </c>
      <c r="AX69" s="133">
        <f>IF(T69=0,0,IF($H$8=1," ",IF(G69="M",H69,0)))</f>
        <v>0</v>
      </c>
      <c r="AY69" s="133">
        <f>IF(T69=0,0,IF($H$8=1," ",IF(K69="M",J69,0)))</f>
        <v>0</v>
      </c>
      <c r="BA69" s="133"/>
      <c r="BB69" s="133"/>
      <c r="BC69" s="133" t="str">
        <f>IF(T69=0,0,IF($H$8=1,IF(G69="K",H69,0)," "))</f>
        <v xml:space="preserve"> </v>
      </c>
      <c r="BD69" s="133" t="str">
        <f>IF(T69=0,0,IF($H$8=1,IF(K69="K",J69,0)," "))</f>
        <v xml:space="preserve"> </v>
      </c>
      <c r="BE69" s="133">
        <f>IF(T69=0,0,IF($H$8=1," ",IF(G69="K",H69,0)))</f>
        <v>0</v>
      </c>
      <c r="BF69" s="133">
        <f>IF(T69=0,0,IF($H$8=1," ",IF(K69="K",J69,0)))</f>
        <v>0</v>
      </c>
      <c r="BG69" s="126"/>
      <c r="BI69" s="133">
        <f>IF(T69=0,0,IF(E69="N",H69,0))</f>
        <v>0</v>
      </c>
      <c r="BJ69" s="133">
        <f>IF(T69=0,0,IF(M69="N",J69,0))</f>
        <v>0</v>
      </c>
      <c r="BK69" s="133"/>
      <c r="BL69" s="133"/>
      <c r="BM69" s="133">
        <f>IF(T69=0,0,IF(E69="N",H69,0))</f>
        <v>0</v>
      </c>
      <c r="BN69" s="133">
        <f>IF(T69=0,0,IF(M69="N",J69,0))</f>
        <v>0</v>
      </c>
      <c r="BO69" s="133"/>
      <c r="BP69" s="133"/>
      <c r="BQ69" s="133"/>
      <c r="BR69" s="133"/>
      <c r="BS69" s="133">
        <f>IF(T69=0,0,IF(E69="N",H69,0))</f>
        <v>0</v>
      </c>
      <c r="BT69" s="133">
        <f>IF(T69=0,0,IF(M69="N",J69,0))</f>
        <v>0</v>
      </c>
      <c r="BU69" s="133"/>
      <c r="BV69" s="133"/>
      <c r="BW69" s="133"/>
      <c r="BY69" s="130"/>
      <c r="BZ69" s="136"/>
      <c r="CA69" s="128">
        <f t="shared" si="20"/>
        <v>63</v>
      </c>
      <c r="CB69" s="129">
        <f>IF(SUM(CB$38:CB68)=0,CC69,0)</f>
        <v>0</v>
      </c>
      <c r="CC69" s="129">
        <f>IF(H$5&lt;64,0,IF(G59="G",0,IF(G59="C",0,IF(G59="M",0,IF(G59="K",0,IF(AND(OR($H$10="FULL",$H$10="AUTO"),OR($H$8=1,$H$8="3Y"),G59="D"),0,63))))))</f>
        <v>0</v>
      </c>
      <c r="CD69" s="128" t="str">
        <f>IF($H$10="NONE","ENTER CIRCUIT #63 LOAD IDENTIFIER  ( G, C, M, K )",IF($H$8="3D","ENTER CIRCUIT #63 LOAD IDENTIFIER  ( G, C, M, K )","ENTER CIRCUIT #63 LOAD IDENTIFIER  ( G, D, C, M, K )"))</f>
        <v>ENTER CIRCUIT #63 LOAD IDENTIFIER  ( G, D, C, M, K )</v>
      </c>
      <c r="CE69" s="129">
        <f>IF(SUM(CE$38:CE68)=0,CF69,0)</f>
        <v>0</v>
      </c>
      <c r="CF69" s="129">
        <f>IF(H$5&lt;64,0,IF(ISBLANK(F59)=TRUE,63,IF(F59=" ",0,IF(F59="H",0,63))))</f>
        <v>0</v>
      </c>
      <c r="CG69" s="128" t="s">
        <v>328</v>
      </c>
      <c r="CH69" s="129">
        <f>IF(SUM(CH$38:CH68)=0,CI69,0)</f>
        <v>0</v>
      </c>
      <c r="CI69" s="132">
        <f>IF($H$5&lt;64,0,IF(ISBLANK($E59)=TRUE,63,IF($E59=" ",0,IF(AND($H$8&lt;&gt;"3D",$E59="N"),0,63))))</f>
        <v>0</v>
      </c>
      <c r="CJ69" s="128" t="str">
        <f>IF($H$8&lt;&gt;"3D","ENTER CIRCUIT #63 NEUTRAL IDENTIFIER  ( N or SPACE )","ENTER CIRCUIT #63 NEUTRAL IDENTIFIER  ( SPACE )")</f>
        <v>ENTER CIRCUIT #63 NEUTRAL IDENTIFIER  ( N or SPACE )</v>
      </c>
      <c r="CK69" s="128"/>
      <c r="CL69" s="128"/>
      <c r="CM69" s="128"/>
      <c r="CN69" s="128"/>
      <c r="CO69" s="128"/>
      <c r="CP69" s="128"/>
      <c r="CQ69" s="28"/>
      <c r="CX69" s="62">
        <f t="shared" si="23"/>
        <v>100.00001</v>
      </c>
      <c r="CY69" s="62"/>
      <c r="CZ69" s="62">
        <v>200</v>
      </c>
      <c r="DA69" s="62" t="str">
        <f t="shared" si="22"/>
        <v>#4</v>
      </c>
      <c r="DB69" s="62">
        <f t="shared" si="22"/>
        <v>6</v>
      </c>
      <c r="DC69" s="62"/>
      <c r="DD69" s="62">
        <v>200</v>
      </c>
      <c r="DE69" s="62" t="s">
        <v>76</v>
      </c>
      <c r="DF69" s="62">
        <v>5</v>
      </c>
      <c r="DG69" s="62" t="s">
        <v>80</v>
      </c>
      <c r="DH69" s="62">
        <v>6</v>
      </c>
      <c r="DJ69" s="22"/>
      <c r="DR69" s="62" t="s">
        <v>106</v>
      </c>
      <c r="DS69" s="62">
        <v>14</v>
      </c>
      <c r="DT69" s="62">
        <f t="shared" si="19"/>
        <v>0.39700000000000002</v>
      </c>
      <c r="DU69" s="22"/>
      <c r="DV69" s="62" t="s">
        <v>106</v>
      </c>
      <c r="DW69" s="62">
        <v>14</v>
      </c>
      <c r="DX69" s="63">
        <v>0.45960000000000001</v>
      </c>
      <c r="DY69" s="63">
        <v>0.62909999999999999</v>
      </c>
      <c r="DZ69" s="63">
        <v>0.39700000000000002</v>
      </c>
      <c r="EA69" s="63">
        <v>0.39040000000000002</v>
      </c>
      <c r="EB69" s="63">
        <v>0.4128</v>
      </c>
      <c r="EC69" s="63">
        <v>0.35249999999999998</v>
      </c>
      <c r="ED69" s="63">
        <v>0.27329999999999999</v>
      </c>
      <c r="EF69" s="62" t="s">
        <v>93</v>
      </c>
      <c r="EG69" s="62">
        <v>10</v>
      </c>
      <c r="EH69" s="63">
        <f t="shared" si="21"/>
        <v>0.20100000000000001</v>
      </c>
      <c r="EI69" s="63">
        <v>0.122</v>
      </c>
      <c r="EJ69" s="63">
        <v>0.20100000000000001</v>
      </c>
      <c r="EK69" s="22"/>
      <c r="EL69" s="22"/>
      <c r="EM69" s="170"/>
      <c r="EN69" s="166"/>
      <c r="EO69" s="171"/>
      <c r="EP69" s="168"/>
      <c r="EQ69" s="166"/>
      <c r="ER69" s="166"/>
      <c r="ES69" s="166"/>
      <c r="ET69" s="169"/>
    </row>
    <row r="70" spans="1:150" ht="14.1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112"/>
      <c r="O70" s="113"/>
      <c r="P70" s="92"/>
      <c r="Q70" s="92"/>
      <c r="BA70" s="133"/>
      <c r="BB70" s="133"/>
      <c r="BC70" s="133"/>
      <c r="BD70" s="133"/>
      <c r="BE70" s="133"/>
      <c r="BF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Y70" s="130"/>
      <c r="BZ70" s="136"/>
      <c r="CA70" s="128">
        <f t="shared" si="20"/>
        <v>65</v>
      </c>
      <c r="CB70" s="129">
        <f>IF(SUM(CB$38:CB69)=0,CC70,0)</f>
        <v>0</v>
      </c>
      <c r="CC70" s="129">
        <f>IF(H$5&lt;66,0,IF(G60="G",0,IF(G60="C",0,IF(G60="M",0,IF(G60="K",0,IF(AND(OR($H$10="FULL",$H$10="AUTO"),G60="D"),0,65))))))</f>
        <v>0</v>
      </c>
      <c r="CD70" s="128" t="str">
        <f>IF($H$10="NONE","ENTER CIRCUIT #65 LOAD IDENTIFIER  ( G, C, M, K )","ENTER CIRCUIT #65 LOAD IDENTIFIER  ( G, D, C, M, K )")</f>
        <v>ENTER CIRCUIT #65 LOAD IDENTIFIER  ( G, D, C, M, K )</v>
      </c>
      <c r="CE70" s="129">
        <f>IF(SUM(CE$38:CE69)=0,CF70,0)</f>
        <v>0</v>
      </c>
      <c r="CF70" s="129">
        <f>IF(H$5&lt;66,0,IF(ISBLANK(F60)=TRUE,65,IF(F60=" ",0,IF(F60="H",0,65))))</f>
        <v>0</v>
      </c>
      <c r="CG70" s="128" t="s">
        <v>329</v>
      </c>
      <c r="CH70" s="129">
        <f>IF(SUM(CH$38:CH69)=0,CI70,0)</f>
        <v>0</v>
      </c>
      <c r="CI70" s="132">
        <f>IF($H$5&lt;66,0,IF(ISBLANK($E60)=TRUE,65,IF($E60="N",0,IF($E60=" ",0,65))))</f>
        <v>0</v>
      </c>
      <c r="CJ70" s="128" t="s">
        <v>464</v>
      </c>
      <c r="CK70" s="128"/>
      <c r="CL70" s="128"/>
      <c r="CM70" s="128"/>
      <c r="CN70" s="128"/>
      <c r="CO70" s="128"/>
      <c r="CP70" s="128"/>
      <c r="CQ70" s="28"/>
      <c r="CX70" s="62">
        <f t="shared" si="23"/>
        <v>200.00001</v>
      </c>
      <c r="CY70" s="62"/>
      <c r="CZ70" s="62">
        <v>300</v>
      </c>
      <c r="DA70" s="62" t="str">
        <f t="shared" si="22"/>
        <v>#2</v>
      </c>
      <c r="DB70" s="62">
        <f t="shared" si="22"/>
        <v>8</v>
      </c>
      <c r="DC70" s="62"/>
      <c r="DD70" s="62">
        <v>300</v>
      </c>
      <c r="DE70" s="62" t="s">
        <v>80</v>
      </c>
      <c r="DF70" s="62">
        <v>6</v>
      </c>
      <c r="DG70" s="62" t="s">
        <v>83</v>
      </c>
      <c r="DH70" s="62">
        <v>8</v>
      </c>
      <c r="DJ70" s="22"/>
      <c r="DR70" s="62" t="s">
        <v>109</v>
      </c>
      <c r="DS70" s="62">
        <v>15</v>
      </c>
      <c r="DT70" s="62">
        <f t="shared" si="19"/>
        <v>0.46079999999999999</v>
      </c>
      <c r="DU70" s="22"/>
      <c r="DV70" s="62" t="s">
        <v>109</v>
      </c>
      <c r="DW70" s="62">
        <v>15</v>
      </c>
      <c r="DX70" s="63">
        <v>0.52810000000000001</v>
      </c>
      <c r="DY70" s="63">
        <v>0.70879999999999999</v>
      </c>
      <c r="DZ70" s="63">
        <v>0.46079999999999999</v>
      </c>
      <c r="EA70" s="63">
        <v>0.4536</v>
      </c>
      <c r="EB70" s="63">
        <v>0.47170000000000001</v>
      </c>
      <c r="EC70" s="63">
        <v>0.40710000000000002</v>
      </c>
      <c r="ED70" s="63">
        <v>0.34210000000000002</v>
      </c>
      <c r="EF70" s="62" t="s">
        <v>97</v>
      </c>
      <c r="EG70" s="62">
        <v>11</v>
      </c>
      <c r="EH70" s="63">
        <f t="shared" si="21"/>
        <v>0.159</v>
      </c>
      <c r="EI70" s="63">
        <v>9.6699999999999994E-2</v>
      </c>
      <c r="EJ70" s="63">
        <v>0.159</v>
      </c>
      <c r="EK70" s="22"/>
      <c r="EL70" s="22"/>
      <c r="EM70" s="172" t="s">
        <v>252</v>
      </c>
      <c r="EN70" s="173"/>
      <c r="EO70" s="174"/>
      <c r="EP70" s="166">
        <v>1</v>
      </c>
      <c r="EQ70" s="166" t="s">
        <v>134</v>
      </c>
      <c r="ER70" s="166">
        <f>SUM(ER63:ER68)</f>
        <v>0</v>
      </c>
      <c r="ES70" s="166" t="s">
        <v>135</v>
      </c>
      <c r="ET70" s="169">
        <f>IF(EG$59=1,0,EP70/ER70)</f>
        <v>0</v>
      </c>
    </row>
    <row r="71" spans="1:150" ht="14.1" customHeight="1">
      <c r="A71" s="92"/>
      <c r="B71" s="119" t="s">
        <v>988</v>
      </c>
      <c r="C71" s="114"/>
      <c r="D71" s="92"/>
      <c r="E71" s="92"/>
      <c r="F71" s="92"/>
      <c r="G71" s="92"/>
      <c r="H71" s="92"/>
      <c r="I71" s="115"/>
      <c r="J71" s="92"/>
      <c r="K71" s="92"/>
      <c r="L71" s="92"/>
      <c r="M71" s="92"/>
      <c r="N71" s="92"/>
      <c r="O71" s="92"/>
      <c r="P71" s="92"/>
      <c r="Q71" s="92"/>
      <c r="AU71" s="132" t="s">
        <v>193</v>
      </c>
      <c r="AW71" s="132" t="s">
        <v>193</v>
      </c>
      <c r="AY71" s="132" t="s">
        <v>193</v>
      </c>
      <c r="AZ71" s="132"/>
      <c r="BA71" s="126"/>
      <c r="BB71" s="133"/>
      <c r="BC71" s="126"/>
      <c r="BD71" s="133"/>
      <c r="BE71" s="126"/>
      <c r="BF71" s="133"/>
      <c r="BG71" s="144" t="s">
        <v>396</v>
      </c>
      <c r="BH71" s="144"/>
      <c r="BI71" s="144" t="s">
        <v>396</v>
      </c>
      <c r="BJ71" s="144"/>
      <c r="BK71" s="144" t="s">
        <v>401</v>
      </c>
      <c r="BL71" s="144"/>
      <c r="BM71" s="144" t="s">
        <v>401</v>
      </c>
      <c r="BN71" s="144"/>
      <c r="BO71" s="144" t="s">
        <v>472</v>
      </c>
      <c r="BP71" s="144"/>
      <c r="BQ71" s="144" t="s">
        <v>472</v>
      </c>
      <c r="BR71" s="144"/>
      <c r="BS71" s="144" t="s">
        <v>472</v>
      </c>
      <c r="BT71" s="144"/>
      <c r="BU71" s="144"/>
      <c r="BV71" s="144"/>
      <c r="BW71" s="133"/>
      <c r="BY71" s="130"/>
      <c r="BZ71" s="136"/>
      <c r="CA71" s="128">
        <f t="shared" si="20"/>
        <v>67</v>
      </c>
      <c r="CB71" s="129">
        <f>IF(SUM(CB$38:CB70)=0,CC71,0)</f>
        <v>0</v>
      </c>
      <c r="CC71" s="129">
        <f>IF(H$5&lt;68,0,IF(G61="G",0,IF(G61="C",0,IF(G61="M",0,IF(G61="K",0,IF(AND(OR($H$10="FULL",$H$10="AUTO"),G61="D"),0,67))))))</f>
        <v>0</v>
      </c>
      <c r="CD71" s="128" t="str">
        <f>IF($H$10="NONE","ENTER CIRCUIT #67 LOAD IDENTIFIER  ( G, C, M, K )","ENTER CIRCUIT #67 LOAD IDENTIFIER  ( G, D, C, M, K )")</f>
        <v>ENTER CIRCUIT #67 LOAD IDENTIFIER  ( G, D, C, M, K )</v>
      </c>
      <c r="CE71" s="129">
        <f>IF(SUM(CE$38:CE70)=0,CF71,0)</f>
        <v>0</v>
      </c>
      <c r="CF71" s="129">
        <f>IF(H$5&lt;68,0,IF(ISBLANK(F61)=TRUE,67,IF(F61=" ",0,IF(F61="H",0,67))))</f>
        <v>0</v>
      </c>
      <c r="CG71" s="128" t="s">
        <v>330</v>
      </c>
      <c r="CH71" s="129">
        <f>IF(SUM(CH$38:CH70)=0,CI71,0)</f>
        <v>0</v>
      </c>
      <c r="CI71" s="132">
        <f>IF($H$5&lt;68,0,IF(ISBLANK($E61)=TRUE,67,IF($E61="N",0,IF($E61=" ",0,67))))</f>
        <v>0</v>
      </c>
      <c r="CJ71" s="128" t="s">
        <v>465</v>
      </c>
      <c r="CK71" s="128"/>
      <c r="CL71" s="128"/>
      <c r="CM71" s="128"/>
      <c r="CN71" s="128"/>
      <c r="CO71" s="128"/>
      <c r="CP71" s="128"/>
      <c r="CQ71" s="28"/>
      <c r="CX71" s="62">
        <f t="shared" si="23"/>
        <v>300.00000999999997</v>
      </c>
      <c r="CY71" s="62"/>
      <c r="CZ71" s="62">
        <v>400</v>
      </c>
      <c r="DA71" s="62" t="str">
        <f t="shared" si="22"/>
        <v>#1</v>
      </c>
      <c r="DB71" s="62">
        <f t="shared" si="22"/>
        <v>9</v>
      </c>
      <c r="DC71" s="62"/>
      <c r="DD71" s="62">
        <v>400</v>
      </c>
      <c r="DE71" s="62" t="s">
        <v>84</v>
      </c>
      <c r="DF71" s="62">
        <v>7</v>
      </c>
      <c r="DG71" s="62" t="s">
        <v>87</v>
      </c>
      <c r="DH71" s="62">
        <v>9</v>
      </c>
      <c r="DJ71" s="22"/>
      <c r="DR71" s="62" t="s">
        <v>112</v>
      </c>
      <c r="DS71" s="62">
        <v>16</v>
      </c>
      <c r="DT71" s="62">
        <f t="shared" si="19"/>
        <v>0.5242</v>
      </c>
      <c r="DU71" s="22"/>
      <c r="DV71" s="62" t="s">
        <v>112</v>
      </c>
      <c r="DW71" s="62">
        <v>16</v>
      </c>
      <c r="DX71" s="63">
        <v>0.5958</v>
      </c>
      <c r="DY71" s="63">
        <v>0.78700000000000003</v>
      </c>
      <c r="DZ71" s="63">
        <v>0.5242</v>
      </c>
      <c r="EA71" s="63">
        <v>0.51659999999999995</v>
      </c>
      <c r="EB71" s="63">
        <v>0.52810000000000001</v>
      </c>
      <c r="EC71" s="63">
        <v>0.46560000000000001</v>
      </c>
      <c r="ED71" s="63">
        <v>0.40150000000000002</v>
      </c>
      <c r="EF71" s="62" t="s">
        <v>101</v>
      </c>
      <c r="EG71" s="62">
        <v>12</v>
      </c>
      <c r="EH71" s="63">
        <f t="shared" si="21"/>
        <v>0.126</v>
      </c>
      <c r="EI71" s="63">
        <v>7.6600000000000001E-2</v>
      </c>
      <c r="EJ71" s="63">
        <v>0.126</v>
      </c>
      <c r="EK71" s="22"/>
      <c r="EL71" s="22"/>
      <c r="EM71" s="175"/>
      <c r="EN71" s="174"/>
      <c r="EO71" s="174"/>
      <c r="EP71" s="176"/>
      <c r="EQ71" s="176"/>
      <c r="ER71" s="176"/>
      <c r="ES71" s="176"/>
      <c r="ET71" s="177"/>
    </row>
    <row r="72" spans="1:150" ht="14.1" hidden="1" customHeight="1">
      <c r="W72" s="145" t="s">
        <v>233</v>
      </c>
      <c r="X72" s="145" t="s">
        <v>233</v>
      </c>
      <c r="Y72" s="145" t="s">
        <v>233</v>
      </c>
      <c r="Z72" s="145"/>
      <c r="AA72" s="145" t="s">
        <v>39</v>
      </c>
      <c r="AB72" s="126"/>
      <c r="AC72" s="145" t="s">
        <v>39</v>
      </c>
      <c r="AD72" s="126"/>
      <c r="AE72" s="145" t="s">
        <v>39</v>
      </c>
      <c r="AG72" s="145" t="s">
        <v>61</v>
      </c>
      <c r="AI72" s="145" t="s">
        <v>61</v>
      </c>
      <c r="AK72" s="145" t="s">
        <v>61</v>
      </c>
      <c r="AM72" s="145" t="s">
        <v>189</v>
      </c>
      <c r="AO72" s="145" t="s">
        <v>189</v>
      </c>
      <c r="AQ72" s="145" t="s">
        <v>189</v>
      </c>
      <c r="AS72" s="133" t="s">
        <v>232</v>
      </c>
      <c r="AU72" s="132" t="s">
        <v>63</v>
      </c>
      <c r="AW72" s="132" t="s">
        <v>63</v>
      </c>
      <c r="AY72" s="132" t="s">
        <v>63</v>
      </c>
      <c r="AZ72" s="132"/>
      <c r="BA72" s="126" t="s">
        <v>243</v>
      </c>
      <c r="BB72" s="133"/>
      <c r="BC72" s="126" t="s">
        <v>243</v>
      </c>
      <c r="BD72" s="133"/>
      <c r="BE72" s="126" t="s">
        <v>243</v>
      </c>
      <c r="BF72" s="133"/>
      <c r="BG72" s="144" t="s">
        <v>471</v>
      </c>
      <c r="BH72" s="144"/>
      <c r="BI72" s="144" t="s">
        <v>471</v>
      </c>
      <c r="BJ72" s="144"/>
      <c r="BK72" s="144" t="s">
        <v>471</v>
      </c>
      <c r="BL72" s="144"/>
      <c r="BM72" s="144" t="s">
        <v>471</v>
      </c>
      <c r="BN72" s="144"/>
      <c r="BO72" s="144" t="s">
        <v>471</v>
      </c>
      <c r="BP72" s="144"/>
      <c r="BQ72" s="144" t="s">
        <v>471</v>
      </c>
      <c r="BR72" s="144"/>
      <c r="BS72" s="144" t="s">
        <v>471</v>
      </c>
      <c r="BT72" s="144"/>
      <c r="BU72" s="144"/>
      <c r="BV72" s="144"/>
      <c r="BW72" s="133"/>
      <c r="BY72" s="130"/>
      <c r="BZ72" s="136"/>
      <c r="CA72" s="128">
        <f t="shared" si="20"/>
        <v>69</v>
      </c>
      <c r="CB72" s="129">
        <f>IF(SUM(CB$38:CB71)=0,CC72,0)</f>
        <v>0</v>
      </c>
      <c r="CC72" s="129">
        <f>IF(H$5&lt;70,0,IF(G62="G",0,IF(G62="C",0,IF(G62="M",0,IF(G62="K",0,IF(AND(OR($H$10="FULL",$H$10="AUTO"),OR($H$8=1,$H$8="3Y"),G62="D"),0,69))))))</f>
        <v>0</v>
      </c>
      <c r="CD72" s="128" t="str">
        <f>IF($H$10="NONE","ENTER CIRCUIT #69 LOAD IDENTIFIER  ( G, C, M, K )",IF($H$8="3D","ENTER CIRCUIT #69 LOAD IDENTIFIER  ( G, C, M, K )","ENTER CIRCUIT #69 LOAD IDENTIFIER  ( G, D, C, M, K )"))</f>
        <v>ENTER CIRCUIT #69 LOAD IDENTIFIER  ( G, D, C, M, K )</v>
      </c>
      <c r="CE72" s="129">
        <f>IF(SUM(CE$38:CE71)=0,CF72,0)</f>
        <v>0</v>
      </c>
      <c r="CF72" s="129">
        <f>IF(H$5&lt;70,0,IF(ISBLANK(F62)=TRUE,69,IF(F62=" ",0,IF(F62="H",0,69))))</f>
        <v>0</v>
      </c>
      <c r="CG72" s="128" t="s">
        <v>331</v>
      </c>
      <c r="CH72" s="129">
        <f>IF(SUM(CH$38:CH71)=0,CI72,0)</f>
        <v>0</v>
      </c>
      <c r="CI72" s="132">
        <f>IF($H$5&lt;70,0,IF(ISBLANK($E62)=TRUE,69,IF($E62=" ",0,IF(AND($H$8&lt;&gt;"3D",$E62="N"),0,69))))</f>
        <v>0</v>
      </c>
      <c r="CJ72" s="128" t="str">
        <f>IF($H$8&lt;&gt;"3D","ENTER CIRCUIT #69 NEUTRAL IDENTIFIER  ( N or SPACE )","ENTER CIRCUIT #69 NEUTRAL IDENTIFIER  ( SPACE )")</f>
        <v>ENTER CIRCUIT #69 NEUTRAL IDENTIFIER  ( N or SPACE )</v>
      </c>
      <c r="CK72" s="128"/>
      <c r="CL72" s="128"/>
      <c r="CM72" s="128"/>
      <c r="CN72" s="128"/>
      <c r="CO72" s="128"/>
      <c r="CP72" s="128"/>
      <c r="CQ72" s="28"/>
      <c r="CX72" s="62">
        <f t="shared" si="23"/>
        <v>400.00000999999997</v>
      </c>
      <c r="CY72" s="62"/>
      <c r="CZ72" s="62">
        <v>500</v>
      </c>
      <c r="DA72" s="62" t="str">
        <f t="shared" si="22"/>
        <v>#1/0</v>
      </c>
      <c r="DB72" s="62">
        <f t="shared" si="22"/>
        <v>10</v>
      </c>
      <c r="DC72" s="62"/>
      <c r="DD72" s="62">
        <v>500</v>
      </c>
      <c r="DE72" s="62" t="s">
        <v>83</v>
      </c>
      <c r="DF72" s="62">
        <v>8</v>
      </c>
      <c r="DG72" s="62" t="s">
        <v>93</v>
      </c>
      <c r="DH72" s="62">
        <v>10</v>
      </c>
      <c r="DJ72" s="22"/>
      <c r="DR72" s="62" t="s">
        <v>114</v>
      </c>
      <c r="DS72" s="62">
        <v>17</v>
      </c>
      <c r="DT72" s="62">
        <f t="shared" si="19"/>
        <v>0.58630000000000004</v>
      </c>
      <c r="DU72" s="22"/>
      <c r="DV72" s="62" t="s">
        <v>114</v>
      </c>
      <c r="DW72" s="62">
        <v>17</v>
      </c>
      <c r="DX72" s="63">
        <v>0.66190000000000004</v>
      </c>
      <c r="DY72" s="63">
        <v>0.86260000000000003</v>
      </c>
      <c r="DZ72" s="63">
        <v>0.58630000000000004</v>
      </c>
      <c r="EA72" s="63">
        <v>0.57820000000000005</v>
      </c>
      <c r="EB72" s="63">
        <v>0.58760000000000001</v>
      </c>
      <c r="EC72" s="63">
        <v>0.52159999999999995</v>
      </c>
      <c r="ED72" s="63">
        <v>0.4536</v>
      </c>
      <c r="EF72" s="62" t="s">
        <v>103</v>
      </c>
      <c r="EG72" s="62">
        <v>13</v>
      </c>
      <c r="EH72" s="63">
        <f t="shared" si="21"/>
        <v>0.1</v>
      </c>
      <c r="EI72" s="63">
        <v>6.08E-2</v>
      </c>
      <c r="EJ72" s="63">
        <v>0.1</v>
      </c>
      <c r="EK72" s="22"/>
      <c r="EL72" s="22"/>
      <c r="EM72" s="172" t="s">
        <v>253</v>
      </c>
      <c r="EN72" s="173"/>
      <c r="EO72" s="174"/>
      <c r="EP72" s="176"/>
      <c r="EQ72" s="176"/>
      <c r="ER72" s="176"/>
      <c r="ES72" s="176"/>
      <c r="ET72" s="178">
        <f>IF($EG$59&gt;1,0,$EG$79)</f>
        <v>0.50800000000000001</v>
      </c>
    </row>
    <row r="73" spans="1:150" ht="14.1" hidden="1" customHeight="1">
      <c r="C73" s="16"/>
      <c r="D73" s="16"/>
      <c r="E73" s="16"/>
      <c r="N73" s="16" t="str">
        <f>P26</f>
        <v/>
      </c>
      <c r="W73" s="145" t="s">
        <v>65</v>
      </c>
      <c r="X73" s="145" t="s">
        <v>65</v>
      </c>
      <c r="Y73" s="145" t="s">
        <v>65</v>
      </c>
      <c r="Z73" s="145"/>
      <c r="AA73" s="145" t="s">
        <v>65</v>
      </c>
      <c r="AB73" s="145"/>
      <c r="AC73" s="145" t="s">
        <v>65</v>
      </c>
      <c r="AD73" s="145"/>
      <c r="AE73" s="145" t="s">
        <v>65</v>
      </c>
      <c r="AG73" s="145" t="s">
        <v>65</v>
      </c>
      <c r="AH73" s="145"/>
      <c r="AI73" s="145" t="s">
        <v>65</v>
      </c>
      <c r="AJ73" s="145"/>
      <c r="AK73" s="145" t="s">
        <v>65</v>
      </c>
      <c r="AM73" s="145" t="s">
        <v>65</v>
      </c>
      <c r="AN73" s="145"/>
      <c r="AO73" s="145" t="s">
        <v>65</v>
      </c>
      <c r="AP73" s="145"/>
      <c r="AQ73" s="145" t="s">
        <v>65</v>
      </c>
      <c r="AS73" s="133" t="s">
        <v>62</v>
      </c>
      <c r="AU73" s="132" t="s">
        <v>65</v>
      </c>
      <c r="AW73" s="132" t="s">
        <v>65</v>
      </c>
      <c r="AY73" s="132" t="s">
        <v>65</v>
      </c>
      <c r="AZ73" s="132"/>
      <c r="BA73" s="126" t="s">
        <v>65</v>
      </c>
      <c r="BB73" s="133"/>
      <c r="BC73" s="126" t="s">
        <v>65</v>
      </c>
      <c r="BD73" s="133"/>
      <c r="BE73" s="126" t="s">
        <v>65</v>
      </c>
      <c r="BF73" s="133"/>
      <c r="BG73" s="144" t="s">
        <v>65</v>
      </c>
      <c r="BH73" s="144"/>
      <c r="BI73" s="144" t="s">
        <v>65</v>
      </c>
      <c r="BJ73" s="144"/>
      <c r="BK73" s="144" t="s">
        <v>65</v>
      </c>
      <c r="BL73" s="144"/>
      <c r="BM73" s="144" t="s">
        <v>65</v>
      </c>
      <c r="BN73" s="144"/>
      <c r="BO73" s="144" t="s">
        <v>65</v>
      </c>
      <c r="BP73" s="144"/>
      <c r="BQ73" s="144" t="s">
        <v>65</v>
      </c>
      <c r="BR73" s="144"/>
      <c r="BS73" s="144" t="s">
        <v>65</v>
      </c>
      <c r="BT73" s="144"/>
      <c r="BU73" s="144"/>
      <c r="BV73" s="144"/>
      <c r="BW73" s="133"/>
      <c r="BY73" s="130"/>
      <c r="BZ73" s="136"/>
      <c r="CA73" s="128">
        <f t="shared" si="20"/>
        <v>71</v>
      </c>
      <c r="CB73" s="129">
        <f>IF(SUM(CB$38:CB72)=0,CC73,0)</f>
        <v>0</v>
      </c>
      <c r="CC73" s="129">
        <f>IF(H$5&lt;72,0,IF(G63="G",0,IF(G63="C",0,IF(G63="M",0,IF(G63="K",0,IF(AND(OR($H$10="FULL",$H$10="AUTO"),G63="D"),0,71))))))</f>
        <v>0</v>
      </c>
      <c r="CD73" s="128" t="str">
        <f>IF($H$10="NONE","ENTER CIRCUIT #71 LOAD IDENTIFIER  ( G, C, M, K )","ENTER CIRCUIT #71 LOAD IDENTIFIER  ( G, D, C, M, K )")</f>
        <v>ENTER CIRCUIT #71 LOAD IDENTIFIER  ( G, D, C, M, K )</v>
      </c>
      <c r="CE73" s="129">
        <f>IF(SUM(CE$38:CE72)=0,CF73,0)</f>
        <v>0</v>
      </c>
      <c r="CF73" s="129">
        <f>IF(H$5&lt;72,0,IF(ISBLANK(F63)=TRUE,71,IF(F63=" ",0,IF(F63="H",0,71))))</f>
        <v>0</v>
      </c>
      <c r="CG73" s="128" t="s">
        <v>332</v>
      </c>
      <c r="CH73" s="129">
        <f>IF(SUM(CH$38:CH72)=0,CI73,0)</f>
        <v>0</v>
      </c>
      <c r="CI73" s="132">
        <f>IF($H$5&lt;72,0,IF(ISBLANK($E63)=TRUE,71,IF($E63="N",0,IF($E63=" ",0,71))))</f>
        <v>0</v>
      </c>
      <c r="CJ73" s="128" t="s">
        <v>466</v>
      </c>
      <c r="CK73" s="128"/>
      <c r="CL73" s="128"/>
      <c r="CM73" s="128"/>
      <c r="CN73" s="128"/>
      <c r="CO73" s="128"/>
      <c r="CP73" s="128"/>
      <c r="CQ73" s="37"/>
      <c r="CX73" s="62">
        <f t="shared" si="23"/>
        <v>500.00000999999997</v>
      </c>
      <c r="CY73" s="62"/>
      <c r="CZ73" s="62">
        <v>600</v>
      </c>
      <c r="DA73" s="62" t="str">
        <f t="shared" si="22"/>
        <v>#2/0</v>
      </c>
      <c r="DB73" s="62">
        <f t="shared" si="22"/>
        <v>11</v>
      </c>
      <c r="DC73" s="62"/>
      <c r="DD73" s="62">
        <v>600</v>
      </c>
      <c r="DE73" s="62" t="s">
        <v>87</v>
      </c>
      <c r="DF73" s="62">
        <v>9</v>
      </c>
      <c r="DG73" s="62" t="s">
        <v>97</v>
      </c>
      <c r="DH73" s="62">
        <v>11</v>
      </c>
      <c r="DJ73" s="22"/>
      <c r="DR73" s="57" t="s">
        <v>116</v>
      </c>
      <c r="DS73" s="57">
        <v>18</v>
      </c>
      <c r="DT73" s="57">
        <f t="shared" si="19"/>
        <v>0.70730000000000004</v>
      </c>
      <c r="DU73" s="22"/>
      <c r="DV73" s="57" t="s">
        <v>116</v>
      </c>
      <c r="DW73" s="57">
        <v>18</v>
      </c>
      <c r="DX73" s="67">
        <v>0.79010000000000002</v>
      </c>
      <c r="DY73" s="67">
        <v>1.0082</v>
      </c>
      <c r="DZ73" s="67">
        <v>0.70730000000000004</v>
      </c>
      <c r="EA73" s="67">
        <v>0.69840000000000002</v>
      </c>
      <c r="EB73" s="67">
        <v>0.69389999999999996</v>
      </c>
      <c r="EC73" s="67">
        <v>0.61509999999999998</v>
      </c>
      <c r="ED73" s="67">
        <v>0.50260000000000005</v>
      </c>
      <c r="EF73" s="62" t="s">
        <v>106</v>
      </c>
      <c r="EG73" s="62">
        <v>14</v>
      </c>
      <c r="EH73" s="63">
        <f t="shared" si="21"/>
        <v>8.4699999999999998E-2</v>
      </c>
      <c r="EI73" s="63">
        <v>5.1499999999999997E-2</v>
      </c>
      <c r="EJ73" s="63">
        <v>8.4699999999999998E-2</v>
      </c>
      <c r="EK73" s="22"/>
      <c r="EL73" s="22"/>
      <c r="EM73" s="179"/>
      <c r="EN73" s="180"/>
      <c r="EO73" s="180"/>
      <c r="EP73" s="181"/>
      <c r="EQ73" s="181"/>
      <c r="ER73" s="181"/>
      <c r="ES73" s="181"/>
      <c r="ET73" s="182"/>
    </row>
    <row r="74" spans="1:150" ht="14.1" hidden="1" customHeight="1">
      <c r="W74" s="145" t="s">
        <v>55</v>
      </c>
      <c r="X74" s="145" t="s">
        <v>56</v>
      </c>
      <c r="Y74" s="145" t="s">
        <v>57</v>
      </c>
      <c r="Z74" s="145"/>
      <c r="AA74" s="145" t="s">
        <v>55</v>
      </c>
      <c r="AB74" s="145"/>
      <c r="AC74" s="145" t="s">
        <v>56</v>
      </c>
      <c r="AD74" s="145"/>
      <c r="AE74" s="145" t="s">
        <v>57</v>
      </c>
      <c r="AG74" s="145" t="s">
        <v>55</v>
      </c>
      <c r="AH74" s="145"/>
      <c r="AI74" s="145" t="s">
        <v>56</v>
      </c>
      <c r="AJ74" s="145"/>
      <c r="AK74" s="145" t="s">
        <v>57</v>
      </c>
      <c r="AM74" s="145" t="s">
        <v>55</v>
      </c>
      <c r="AN74" s="145"/>
      <c r="AO74" s="145" t="s">
        <v>56</v>
      </c>
      <c r="AP74" s="145"/>
      <c r="AQ74" s="145" t="s">
        <v>57</v>
      </c>
      <c r="AS74" s="133" t="s">
        <v>65</v>
      </c>
      <c r="AU74" s="132" t="s">
        <v>55</v>
      </c>
      <c r="AW74" s="132" t="s">
        <v>56</v>
      </c>
      <c r="AY74" s="132" t="s">
        <v>57</v>
      </c>
      <c r="AZ74" s="132"/>
      <c r="BA74" s="126" t="s">
        <v>55</v>
      </c>
      <c r="BB74" s="133"/>
      <c r="BC74" s="126" t="s">
        <v>56</v>
      </c>
      <c r="BD74" s="133"/>
      <c r="BE74" s="126" t="s">
        <v>57</v>
      </c>
      <c r="BF74" s="133"/>
      <c r="BG74" s="126" t="s">
        <v>55</v>
      </c>
      <c r="BI74" s="126" t="s">
        <v>57</v>
      </c>
      <c r="BK74" s="144" t="s">
        <v>55</v>
      </c>
      <c r="BL74" s="144"/>
      <c r="BM74" s="144" t="s">
        <v>56</v>
      </c>
      <c r="BN74" s="144"/>
      <c r="BO74" s="144" t="s">
        <v>55</v>
      </c>
      <c r="BP74" s="144"/>
      <c r="BQ74" s="144" t="s">
        <v>56</v>
      </c>
      <c r="BR74" s="144"/>
      <c r="BS74" s="144" t="s">
        <v>57</v>
      </c>
      <c r="BT74" s="144"/>
      <c r="BU74" s="144"/>
      <c r="BV74" s="144"/>
      <c r="BW74" s="133"/>
      <c r="BY74" s="130"/>
      <c r="BZ74" s="136"/>
      <c r="CA74" s="128">
        <f t="shared" si="20"/>
        <v>73</v>
      </c>
      <c r="CB74" s="129">
        <f>IF(SUM(CB$38:CB73)=0,CC74,0)</f>
        <v>0</v>
      </c>
      <c r="CC74" s="129">
        <f>IF(H$5&lt;74,0,IF(G64="G",0,IF(G64="C",0,IF(G64="M",0,IF(G64="K",0,IF(AND(OR($H$10="FULL",$H$10="AUTO"),G64="D"),0,73))))))</f>
        <v>0</v>
      </c>
      <c r="CD74" s="128" t="str">
        <f>IF($H$10="NONE","ENTER CIRCUIT #73 LOAD IDENTIFIER  ( G, C, M, K )","ENTER CIRCUIT #73 LOAD IDENTIFIER  ( G, D, C, M, K )")</f>
        <v>ENTER CIRCUIT #73 LOAD IDENTIFIER  ( G, D, C, M, K )</v>
      </c>
      <c r="CE74" s="129">
        <f>IF(SUM(CE$38:CE73)=0,CF74,0)</f>
        <v>0</v>
      </c>
      <c r="CF74" s="129">
        <f>IF(H$5&lt;74,0,IF(ISBLANK(F64)=TRUE,73,IF(F64=" ",0,IF(F64="H",0,73))))</f>
        <v>0</v>
      </c>
      <c r="CG74" s="128" t="s">
        <v>333</v>
      </c>
      <c r="CH74" s="129">
        <f>IF(SUM(CH$38:CH73)=0,CI74,0)</f>
        <v>0</v>
      </c>
      <c r="CI74" s="132">
        <f>IF($H$5&lt;74,0,IF(ISBLANK($E64)=TRUE,73,IF($E64="N",0,IF($E64=" ",0,73))))</f>
        <v>0</v>
      </c>
      <c r="CJ74" s="128" t="s">
        <v>467</v>
      </c>
      <c r="CK74" s="128"/>
      <c r="CL74" s="128"/>
      <c r="CM74" s="128"/>
      <c r="CN74" s="128"/>
      <c r="CO74" s="128"/>
      <c r="CP74" s="128"/>
      <c r="CQ74" s="37"/>
      <c r="CX74" s="62">
        <f t="shared" si="23"/>
        <v>600.00000999999997</v>
      </c>
      <c r="CY74" s="62"/>
      <c r="CZ74" s="62">
        <v>800</v>
      </c>
      <c r="DA74" s="62" t="str">
        <f t="shared" si="22"/>
        <v>#3/0</v>
      </c>
      <c r="DB74" s="62">
        <f t="shared" si="22"/>
        <v>12</v>
      </c>
      <c r="DC74" s="62"/>
      <c r="DD74" s="62">
        <v>800</v>
      </c>
      <c r="DE74" s="62" t="s">
        <v>93</v>
      </c>
      <c r="DF74" s="62">
        <v>10</v>
      </c>
      <c r="DG74" s="62" t="s">
        <v>101</v>
      </c>
      <c r="DH74" s="62">
        <v>12</v>
      </c>
      <c r="DJ74" s="22"/>
      <c r="DR74" s="22"/>
      <c r="DS74" s="22"/>
      <c r="DT74" s="27"/>
      <c r="DU74" s="22"/>
      <c r="DV74" s="27"/>
      <c r="DW74" s="22"/>
      <c r="DX74" s="22"/>
      <c r="DY74" s="22"/>
      <c r="DZ74" s="22"/>
      <c r="EA74" s="22"/>
      <c r="EB74" s="22"/>
      <c r="EC74" s="22"/>
      <c r="ED74" s="22"/>
      <c r="EF74" s="62" t="s">
        <v>109</v>
      </c>
      <c r="EG74" s="62">
        <v>15</v>
      </c>
      <c r="EH74" s="63">
        <f t="shared" si="21"/>
        <v>7.0699999999999999E-2</v>
      </c>
      <c r="EI74" s="63">
        <v>4.2900000000000001E-2</v>
      </c>
      <c r="EJ74" s="63">
        <v>7.0699999999999999E-2</v>
      </c>
      <c r="EK74" s="22"/>
      <c r="EL74" s="22"/>
      <c r="EM74" s="183" t="s">
        <v>254</v>
      </c>
      <c r="EN74" s="184"/>
      <c r="EO74" s="184"/>
      <c r="EP74" s="185"/>
      <c r="EQ74" s="185"/>
      <c r="ER74" s="185"/>
      <c r="ES74" s="185"/>
      <c r="ET74" s="186">
        <f>ROUND(MAX(ET70:ET72),4)</f>
        <v>0.50800000000000001</v>
      </c>
    </row>
    <row r="75" spans="1:150" ht="14.1" hidden="1" customHeight="1">
      <c r="J75" s="16"/>
      <c r="W75" s="140">
        <f>SUM(W28:W69)</f>
        <v>7100</v>
      </c>
      <c r="X75" s="140">
        <f>SUM(X28:X69)</f>
        <v>7100</v>
      </c>
      <c r="Y75" s="140">
        <f>SUM(Y28:Y69)</f>
        <v>1100</v>
      </c>
      <c r="Z75" s="150"/>
      <c r="AA75" s="140">
        <f>SUM(Z28:AA69)</f>
        <v>7100</v>
      </c>
      <c r="AB75" s="150"/>
      <c r="AC75" s="140">
        <f>SUM(AB28:AC69)</f>
        <v>7100</v>
      </c>
      <c r="AD75" s="150"/>
      <c r="AE75" s="140">
        <f>SUM(AD28:AE69)</f>
        <v>1100</v>
      </c>
      <c r="AG75" s="140">
        <f>SUM(AF28:AG69)</f>
        <v>0</v>
      </c>
      <c r="AH75" s="150"/>
      <c r="AI75" s="140">
        <f>SUM(AH28:AI69)</f>
        <v>0</v>
      </c>
      <c r="AJ75" s="150"/>
      <c r="AK75" s="140">
        <f>SUM(AJ28:AK69)</f>
        <v>0</v>
      </c>
      <c r="AM75" s="140">
        <f>SUM(AL28:AM69)</f>
        <v>0</v>
      </c>
      <c r="AN75" s="150"/>
      <c r="AO75" s="140">
        <f>SUM(AN28:AO69)</f>
        <v>0</v>
      </c>
      <c r="AP75" s="150"/>
      <c r="AQ75" s="140">
        <f>SUM(AP28:AQ69)</f>
        <v>0</v>
      </c>
      <c r="AS75" s="140">
        <f>SUM(AR28:AS69)</f>
        <v>0</v>
      </c>
      <c r="AU75" s="137">
        <f>SUM(AT28:AU69)</f>
        <v>0</v>
      </c>
      <c r="AW75" s="137">
        <f>SUM(AV28:AW69)</f>
        <v>0</v>
      </c>
      <c r="AY75" s="137">
        <f>SUM(AX28:AY69)</f>
        <v>0</v>
      </c>
      <c r="AZ75" s="132"/>
      <c r="BA75" s="140">
        <f>SUM(BA28:BB69)</f>
        <v>0</v>
      </c>
      <c r="BB75" s="133"/>
      <c r="BC75" s="140">
        <f>SUM(BC28:BD69)</f>
        <v>0</v>
      </c>
      <c r="BD75" s="133"/>
      <c r="BE75" s="140">
        <f>SUM(BE28:BF69)</f>
        <v>0</v>
      </c>
      <c r="BF75" s="133"/>
      <c r="BG75" s="140">
        <f>SUM(BG28:BH69)</f>
        <v>0</v>
      </c>
      <c r="BI75" s="140">
        <f>SUM(BI28:BJ69)</f>
        <v>0</v>
      </c>
      <c r="BK75" s="140">
        <f>SUM(BK28:BL69)</f>
        <v>0</v>
      </c>
      <c r="BL75" s="133"/>
      <c r="BM75" s="140">
        <f>SUM(BM28:BN69)</f>
        <v>0</v>
      </c>
      <c r="BN75" s="133"/>
      <c r="BO75" s="140">
        <f>SUM(BO28:BP69)</f>
        <v>0</v>
      </c>
      <c r="BP75" s="133"/>
      <c r="BQ75" s="140">
        <f>SUM(BQ28:BR69)</f>
        <v>0</v>
      </c>
      <c r="BR75" s="133"/>
      <c r="BS75" s="140">
        <f>SUM(BS28:BT69)</f>
        <v>0</v>
      </c>
      <c r="BT75" s="133"/>
      <c r="BU75" s="144"/>
      <c r="BV75" s="133"/>
      <c r="BW75" s="133"/>
      <c r="BY75" s="130"/>
      <c r="BZ75" s="136"/>
      <c r="CA75" s="128">
        <f t="shared" si="20"/>
        <v>75</v>
      </c>
      <c r="CB75" s="129">
        <f>IF(SUM(CB$38:CB74)=0,CC75,0)</f>
        <v>0</v>
      </c>
      <c r="CC75" s="129">
        <f>IF(H$5&lt;76,0,IF(G65="G",0,IF(G65="C",0,IF(G65="M",0,IF(G65="K",0,IF(AND(OR($H$10="FULL",$H$10="AUTO"),OR($H$8=1,$H$8="3Y"),G65="D"),0,75))))))</f>
        <v>0</v>
      </c>
      <c r="CD75" s="128" t="str">
        <f>IF($H$10="NONE","ENTER CIRCUIT #75 LOAD IDENTIFIER  ( G, C, M, K )",IF($H$8="3D","ENTER CIRCUIT #75 LOAD IDENTIFIER  ( G, C, M, K )","ENTER CIRCUIT #75 LOAD IDENTIFIER  ( G, D, C, M, K )"))</f>
        <v>ENTER CIRCUIT #75 LOAD IDENTIFIER  ( G, D, C, M, K )</v>
      </c>
      <c r="CE75" s="129">
        <f>IF(SUM(CE$38:CE74)=0,CF75,0)</f>
        <v>0</v>
      </c>
      <c r="CF75" s="129">
        <f>IF(H$5&lt;76,0,IF(ISBLANK(F65)=TRUE,75,IF(F65=" ",0,IF(F65="H",0,75))))</f>
        <v>0</v>
      </c>
      <c r="CG75" s="128" t="s">
        <v>334</v>
      </c>
      <c r="CH75" s="129">
        <f>IF(SUM(CH$38:CH74)=0,CI75,0)</f>
        <v>0</v>
      </c>
      <c r="CI75" s="132">
        <f>IF($H$5&lt;76,0,IF(ISBLANK($E65)=TRUE,75,IF($E65=" ",0,IF(AND($H$8&lt;&gt;"3D",$E65="N"),0,75))))</f>
        <v>0</v>
      </c>
      <c r="CJ75" s="128" t="str">
        <f>IF($H$8&lt;&gt;"3D","ENTER CIRCUIT #75 NEUTRAL IDENTIFIER  ( N or SPACE )","ENTER CIRCUIT #75 NEUTRAL IDENTIFIER  ( SPACE )")</f>
        <v>ENTER CIRCUIT #75 NEUTRAL IDENTIFIER  ( N or SPACE )</v>
      </c>
      <c r="CK75" s="128"/>
      <c r="CL75" s="128"/>
      <c r="CM75" s="128"/>
      <c r="CN75" s="128"/>
      <c r="CO75" s="128"/>
      <c r="CP75" s="128"/>
      <c r="CQ75" s="37"/>
      <c r="CX75" s="62">
        <f t="shared" si="23"/>
        <v>800.00000999999997</v>
      </c>
      <c r="CY75" s="62"/>
      <c r="CZ75" s="62">
        <v>1000</v>
      </c>
      <c r="DA75" s="62" t="str">
        <f t="shared" si="22"/>
        <v>#4/0</v>
      </c>
      <c r="DB75" s="62">
        <f t="shared" si="22"/>
        <v>13</v>
      </c>
      <c r="DC75" s="62"/>
      <c r="DD75" s="62">
        <v>1000</v>
      </c>
      <c r="DE75" s="62" t="s">
        <v>97</v>
      </c>
      <c r="DF75" s="62">
        <v>11</v>
      </c>
      <c r="DG75" s="62" t="s">
        <v>103</v>
      </c>
      <c r="DH75" s="62">
        <v>13</v>
      </c>
      <c r="DJ75" s="22"/>
      <c r="DR75" s="69" t="s">
        <v>488</v>
      </c>
      <c r="DS75" s="79">
        <f>VLOOKUP(DS45,DS58:DT73,1)</f>
        <v>6</v>
      </c>
      <c r="DT75" s="79"/>
      <c r="DU75" s="79" t="s">
        <v>494</v>
      </c>
      <c r="DV75" s="79" t="s">
        <v>56</v>
      </c>
      <c r="DW75" s="79" t="s">
        <v>495</v>
      </c>
      <c r="DX75" s="79" t="s">
        <v>110</v>
      </c>
      <c r="DY75" s="79"/>
      <c r="DZ75" s="79"/>
      <c r="EA75" s="79"/>
      <c r="EB75" s="70"/>
      <c r="EC75" s="22"/>
      <c r="ED75" s="22"/>
      <c r="EF75" s="62" t="s">
        <v>112</v>
      </c>
      <c r="EG75" s="62">
        <v>16</v>
      </c>
      <c r="EH75" s="63">
        <f t="shared" si="21"/>
        <v>6.0499999999999998E-2</v>
      </c>
      <c r="EI75" s="63">
        <v>3.6700000000000003E-2</v>
      </c>
      <c r="EJ75" s="63">
        <v>6.0499999999999998E-2</v>
      </c>
      <c r="EK75" s="22"/>
      <c r="EL75" s="22"/>
      <c r="EM75" s="22"/>
      <c r="EN75" s="22"/>
      <c r="EO75" s="22"/>
    </row>
    <row r="76" spans="1:150" ht="14.1" hidden="1" customHeight="1">
      <c r="AU76" s="137">
        <f>MAX(AT28:AU69)</f>
        <v>0</v>
      </c>
      <c r="AW76" s="137">
        <f>MAX(AV28:AW69)</f>
        <v>0</v>
      </c>
      <c r="AY76" s="137">
        <f>MAX(AX28:AY69)</f>
        <v>0</v>
      </c>
      <c r="BA76" s="133"/>
      <c r="BB76" s="133"/>
      <c r="BC76" s="133"/>
      <c r="BD76" s="133"/>
      <c r="BE76" s="133"/>
      <c r="BF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44"/>
      <c r="BV76" s="133"/>
      <c r="BW76" s="133"/>
      <c r="BY76" s="130"/>
      <c r="BZ76" s="136"/>
      <c r="CA76" s="128">
        <f t="shared" si="20"/>
        <v>77</v>
      </c>
      <c r="CB76" s="129">
        <f>IF(SUM(CB$38:CB75)=0,CC76,0)</f>
        <v>0</v>
      </c>
      <c r="CC76" s="129">
        <f>IF(H$5&lt;78,0,IF(G66="G",0,IF(G66="C",0,IF(G66="M",0,IF(G66="K",0,IF(AND(OR($H$10="FULL",$H$10="AUTO"),G66="D"),0,77))))))</f>
        <v>0</v>
      </c>
      <c r="CD76" s="128" t="str">
        <f>IF($H$10="NONE","ENTER CIRCUIT #77 LOAD IDENTIFIER  ( G, C, M, K )","ENTER CIRCUIT #77 LOAD IDENTIFIER  ( G, D, C, M, K )")</f>
        <v>ENTER CIRCUIT #77 LOAD IDENTIFIER  ( G, D, C, M, K )</v>
      </c>
      <c r="CE76" s="129">
        <f>IF(SUM(CE$38:CE75)=0,CF76,0)</f>
        <v>0</v>
      </c>
      <c r="CF76" s="129">
        <f>IF(H$5&lt;78,0,IF(ISBLANK(F66)=TRUE,77,IF(F66=" ",0,IF(F66="H",0,77))))</f>
        <v>0</v>
      </c>
      <c r="CG76" s="128" t="s">
        <v>335</v>
      </c>
      <c r="CH76" s="129">
        <f>IF(SUM(CH$38:CH75)=0,CI76,0)</f>
        <v>0</v>
      </c>
      <c r="CI76" s="132">
        <f>IF($H$5&lt;78,0,IF(ISBLANK($E66)=TRUE,77,IF($E66="N",0,IF($E66=" ",0,77))))</f>
        <v>0</v>
      </c>
      <c r="CJ76" s="128" t="s">
        <v>468</v>
      </c>
      <c r="CK76" s="128"/>
      <c r="CL76" s="128"/>
      <c r="CM76" s="128"/>
      <c r="CN76" s="128"/>
      <c r="CO76" s="128"/>
      <c r="CP76" s="128"/>
      <c r="CQ76" s="37"/>
      <c r="CX76" s="57">
        <f t="shared" si="23"/>
        <v>1000.00001</v>
      </c>
      <c r="CY76" s="57"/>
      <c r="CZ76" s="57">
        <v>1200</v>
      </c>
      <c r="DA76" s="57" t="str">
        <f t="shared" si="22"/>
        <v>#250</v>
      </c>
      <c r="DB76" s="57">
        <f t="shared" si="22"/>
        <v>14</v>
      </c>
      <c r="DC76" s="57"/>
      <c r="DD76" s="57">
        <v>1200</v>
      </c>
      <c r="DE76" s="57" t="s">
        <v>101</v>
      </c>
      <c r="DF76" s="57">
        <v>12</v>
      </c>
      <c r="DG76" s="57" t="s">
        <v>106</v>
      </c>
      <c r="DH76" s="57">
        <v>14</v>
      </c>
      <c r="DJ76" s="22"/>
      <c r="DR76" s="83" t="s">
        <v>489</v>
      </c>
      <c r="DS76" s="27">
        <f>VLOOKUP(DS45,DS58:DT73,2)</f>
        <v>8.2400000000000001E-2</v>
      </c>
      <c r="DT76" s="27" t="s">
        <v>17</v>
      </c>
      <c r="DU76" s="27">
        <v>2</v>
      </c>
      <c r="DV76" s="27">
        <f>IF(AND($H$8="3D",$H$9="FULL"),1,IF(AND($H$8="3D",DS76=DS78),1,IF($H$8="3Y",1,0)))</f>
        <v>1</v>
      </c>
      <c r="DW76" s="27">
        <f>IF(AND($H$10="AUTO",DS76&lt;&gt;DS80),0,IF($H$10="NONE",0,1))</f>
        <v>1</v>
      </c>
      <c r="DX76" s="27">
        <f>SUM(DU76:DW76)</f>
        <v>4</v>
      </c>
      <c r="DY76" s="27" t="s">
        <v>135</v>
      </c>
      <c r="DZ76" s="27">
        <f>DS76*DX76</f>
        <v>0.3296</v>
      </c>
      <c r="EA76" s="27">
        <f>DS76</f>
        <v>8.2400000000000001E-2</v>
      </c>
      <c r="EB76" s="75">
        <f>IF(MAX(EA$76:EA$82)=EA76,0,1)</f>
        <v>0</v>
      </c>
      <c r="EC76" s="22">
        <v>1</v>
      </c>
      <c r="ED76" s="22" t="str">
        <f>VLOOKUP(DS45,DS58:DV73,4)</f>
        <v>#4</v>
      </c>
      <c r="EF76" s="62" t="s">
        <v>114</v>
      </c>
      <c r="EG76" s="62">
        <v>17</v>
      </c>
      <c r="EH76" s="63">
        <f t="shared" si="21"/>
        <v>5.2900000000000003E-2</v>
      </c>
      <c r="EI76" s="63">
        <v>3.2099999999999997E-2</v>
      </c>
      <c r="EJ76" s="63">
        <v>5.2900000000000003E-2</v>
      </c>
      <c r="EK76" s="22"/>
      <c r="EL76" s="22"/>
      <c r="EM76" s="22"/>
      <c r="EN76" s="22"/>
      <c r="EO76" s="22"/>
    </row>
    <row r="77" spans="1:150" ht="14.1" hidden="1" customHeight="1">
      <c r="AK77" s="261">
        <f>SUM(AG75:AK75)</f>
        <v>0</v>
      </c>
      <c r="AM77" s="145" t="s">
        <v>189</v>
      </c>
      <c r="AN77" s="145"/>
      <c r="AO77" s="145"/>
      <c r="AP77" s="145"/>
      <c r="AQ77" s="145"/>
      <c r="AU77" s="133" t="s">
        <v>193</v>
      </c>
      <c r="AV77" s="133" t="s">
        <v>238</v>
      </c>
      <c r="AW77" s="126">
        <f>MAX(AU75:AY75)</f>
        <v>0</v>
      </c>
      <c r="BA77" s="133"/>
      <c r="BB77" s="133"/>
      <c r="BC77" s="133"/>
      <c r="BD77" s="133"/>
      <c r="BE77" s="133" t="s">
        <v>232</v>
      </c>
      <c r="BF77" s="133"/>
      <c r="BI77" s="140">
        <f>MAX(BG75:BI75)</f>
        <v>0</v>
      </c>
      <c r="BK77" s="133"/>
      <c r="BL77" s="133"/>
      <c r="BM77" s="140">
        <f>MAX(BK75:BM75)</f>
        <v>0</v>
      </c>
      <c r="BN77" s="133"/>
      <c r="BO77" s="133"/>
      <c r="BP77" s="133"/>
      <c r="BQ77" s="133"/>
      <c r="BR77" s="133"/>
      <c r="BS77" s="140">
        <f>MAX(BO75:BS75)</f>
        <v>0</v>
      </c>
      <c r="BT77" s="133"/>
      <c r="BU77" s="144"/>
      <c r="BV77" s="133"/>
      <c r="BW77" s="133"/>
      <c r="BY77" s="130"/>
      <c r="BZ77" s="136"/>
      <c r="CA77" s="128">
        <f t="shared" si="20"/>
        <v>79</v>
      </c>
      <c r="CB77" s="129">
        <f>IF(SUM(CB$38:CB76)=0,CC77,0)</f>
        <v>0</v>
      </c>
      <c r="CC77" s="129">
        <f>IF(H$5&lt;80,0,IF(G67="G",0,IF(G67="C",0,IF(G67="M",0,IF(G67="K",0,IF(AND(OR($H$10="FULL",$H$10="AUTO"),G67="D"),0,79))))))</f>
        <v>0</v>
      </c>
      <c r="CD77" s="128" t="str">
        <f>IF($H$10="NONE","ENTER CIRCUIT #79 LOAD IDENTIFIER  ( G, C, M, K )","ENTER CIRCUIT #79 LOAD IDENTIFIER  ( G, D, C, M, K )")</f>
        <v>ENTER CIRCUIT #79 LOAD IDENTIFIER  ( G, D, C, M, K )</v>
      </c>
      <c r="CE77" s="129">
        <f>IF(SUM(CE$38:CE76)=0,CF77,0)</f>
        <v>0</v>
      </c>
      <c r="CF77" s="129">
        <f>IF(H$5&lt;80,0,IF(ISBLANK(F67)=TRUE,79,IF(F67=" ",0,IF(F67="H",0,79))))</f>
        <v>0</v>
      </c>
      <c r="CG77" s="128" t="s">
        <v>336</v>
      </c>
      <c r="CH77" s="129">
        <f>IF(SUM(CH$38:CH76)=0,CI77,0)</f>
        <v>0</v>
      </c>
      <c r="CI77" s="132">
        <f>IF($H$5&lt;80,0,IF(ISBLANK($E67)=TRUE,79,IF($E67="N",0,IF($E67=" ",0,79))))</f>
        <v>0</v>
      </c>
      <c r="CJ77" s="128" t="s">
        <v>469</v>
      </c>
      <c r="CK77" s="128"/>
      <c r="CL77" s="128"/>
      <c r="CM77" s="128"/>
      <c r="CN77" s="128"/>
      <c r="CO77" s="128"/>
      <c r="CP77" s="128"/>
      <c r="CQ77" s="37"/>
      <c r="CX77" s="73" t="s">
        <v>149</v>
      </c>
      <c r="CY77" s="79" t="s">
        <v>149</v>
      </c>
      <c r="CZ77" s="79" t="s">
        <v>149</v>
      </c>
      <c r="DA77" s="70" t="s">
        <v>149</v>
      </c>
      <c r="DB77" s="22"/>
      <c r="DC77" s="22"/>
      <c r="DD77" s="22"/>
      <c r="DE77" s="22"/>
      <c r="DF77" s="22"/>
      <c r="DG77" s="22"/>
      <c r="DH77" s="22"/>
      <c r="DJ77" s="22"/>
      <c r="DR77" s="83" t="s">
        <v>490</v>
      </c>
      <c r="DS77" s="27">
        <f>CZ55</f>
        <v>6</v>
      </c>
      <c r="DT77" s="27"/>
      <c r="DU77" s="27"/>
      <c r="DV77" s="27"/>
      <c r="DW77" s="27"/>
      <c r="DX77" s="27"/>
      <c r="DY77" s="27"/>
      <c r="DZ77" s="27"/>
      <c r="EA77" s="27"/>
      <c r="EB77" s="75"/>
      <c r="EC77" s="22"/>
      <c r="ED77" s="22"/>
      <c r="EF77" s="57" t="s">
        <v>116</v>
      </c>
      <c r="EG77" s="57">
        <v>18</v>
      </c>
      <c r="EH77" s="67">
        <f t="shared" si="21"/>
        <v>4.24E-2</v>
      </c>
      <c r="EI77" s="67">
        <v>2.58E-2</v>
      </c>
      <c r="EJ77" s="67">
        <v>4.24E-2</v>
      </c>
      <c r="EK77" s="22"/>
      <c r="EL77" s="22"/>
      <c r="EM77" s="22"/>
      <c r="EN77" s="22"/>
      <c r="EO77" s="22"/>
    </row>
    <row r="78" spans="1:150" ht="14.1" hidden="1" customHeight="1">
      <c r="Y78" s="140">
        <f>W75+X75+Y75</f>
        <v>15300</v>
      </c>
      <c r="AE78" s="140">
        <f>SUM(AA75:AE75)</f>
        <v>15300</v>
      </c>
      <c r="AM78" s="145" t="s">
        <v>236</v>
      </c>
      <c r="AN78" s="145"/>
      <c r="AO78" s="145"/>
      <c r="AP78" s="145"/>
      <c r="AQ78" s="145"/>
      <c r="AV78" s="126" t="s">
        <v>17</v>
      </c>
      <c r="AW78" s="133">
        <v>3</v>
      </c>
      <c r="AY78" s="133" t="s">
        <v>232</v>
      </c>
      <c r="BA78" s="133"/>
      <c r="BB78" s="133"/>
      <c r="BC78" s="133"/>
      <c r="BD78" s="133"/>
      <c r="BE78" s="133" t="s">
        <v>243</v>
      </c>
      <c r="BF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Y78" s="130"/>
      <c r="BZ78" s="136"/>
      <c r="CA78" s="128">
        <f t="shared" si="20"/>
        <v>81</v>
      </c>
      <c r="CB78" s="129">
        <f>IF(SUM(CB$38:CB77)=0,CC78,0)</f>
        <v>0</v>
      </c>
      <c r="CC78" s="129">
        <f>IF(H$5&lt;82,0,IF(G68="G",0,IF(G68="C",0,IF(G68="M",0,IF(G68="K",0,IF(AND(OR($H$10="FULL",$H$10="AUTO"),OR($H$8=1,$H$8="3Y"),G68="D"),0,81))))))</f>
        <v>0</v>
      </c>
      <c r="CD78" s="128" t="str">
        <f>IF($H$10="NONE","ENTER CIRCUIT #81 LOAD IDENTIFIER  ( G, C, M, K )",IF($H$8="3D","ENTER CIRCUIT #81 LOAD IDENTIFIER  ( G, C, M, K )","ENTER CIRCUIT #81 LOAD IDENTIFIER  ( G, D, C, M, K )"))</f>
        <v>ENTER CIRCUIT #81 LOAD IDENTIFIER  ( G, D, C, M, K )</v>
      </c>
      <c r="CE78" s="129">
        <f>IF(SUM(CE$38:CE77)=0,CF78,0)</f>
        <v>0</v>
      </c>
      <c r="CF78" s="129">
        <f>IF(H$5&lt;82,0,IF(ISBLANK(F68)=TRUE,81,IF(F68=" ",0,IF(F68="H",0,81))))</f>
        <v>0</v>
      </c>
      <c r="CG78" s="128" t="s">
        <v>337</v>
      </c>
      <c r="CH78" s="129">
        <f>IF(SUM(CH$38:CH77)=0,CI78,0)</f>
        <v>0</v>
      </c>
      <c r="CI78" s="132">
        <f>IF($H$5&lt;82,0,IF(ISBLANK($E68)=TRUE,81,IF($E68=" ",0,IF(AND($H$8&lt;&gt;"3D",$E68="N"),0,81))))</f>
        <v>0</v>
      </c>
      <c r="CJ78" s="128" t="str">
        <f>IF($H$8&lt;&gt;"3D","ENTER CIRCUIT #81 NEUTRAL IDENTIFIER  ( N or SPACE )","ENTER CIRCUIT #81 NEUTRAL IDENTIFIER  ( SPACE )")</f>
        <v>ENTER CIRCUIT #81 NEUTRAL IDENTIFIER  ( N or SPACE )</v>
      </c>
      <c r="CK78" s="128"/>
      <c r="CL78" s="128"/>
      <c r="CM78" s="128"/>
      <c r="CN78" s="128"/>
      <c r="CO78" s="128"/>
      <c r="CP78" s="128"/>
      <c r="CQ78" s="37"/>
      <c r="CX78" s="74" t="s">
        <v>34</v>
      </c>
      <c r="CY78" s="27" t="s">
        <v>68</v>
      </c>
      <c r="CZ78" s="27" t="s">
        <v>68</v>
      </c>
      <c r="DA78" s="75" t="s">
        <v>68</v>
      </c>
      <c r="DB78" s="22"/>
      <c r="DC78" s="22"/>
      <c r="DD78" s="22"/>
      <c r="DE78" s="22"/>
      <c r="DF78" s="22"/>
      <c r="DG78" s="22"/>
      <c r="DH78" s="22"/>
      <c r="DJ78" s="22"/>
      <c r="DR78" s="83" t="s">
        <v>491</v>
      </c>
      <c r="DS78" s="27">
        <f>VLOOKUP(DS77,DS58:DT73,2)</f>
        <v>8.2400000000000001E-2</v>
      </c>
      <c r="DT78" s="27" t="s">
        <v>17</v>
      </c>
      <c r="DU78" s="27"/>
      <c r="DV78" s="27">
        <f>IF(AND($H$8="3D",$H$9="AUTO",DS76&lt;&gt;DS78),1,0)</f>
        <v>0</v>
      </c>
      <c r="DW78" s="27"/>
      <c r="DX78" s="27">
        <f>SUM(DU78:DW78)</f>
        <v>0</v>
      </c>
      <c r="DY78" s="27" t="s">
        <v>135</v>
      </c>
      <c r="DZ78" s="27">
        <f>DS78*DX78</f>
        <v>0</v>
      </c>
      <c r="EA78" s="27">
        <f>DS78</f>
        <v>8.2400000000000001E-2</v>
      </c>
      <c r="EB78" s="75">
        <f>IF(MAX(EA$76:EA$82)=EA78,0,1)</f>
        <v>0</v>
      </c>
      <c r="EC78" s="22">
        <v>3</v>
      </c>
      <c r="ED78" s="22" t="str">
        <f>VLOOKUP(DS77,DS58:DV73,4)</f>
        <v>#4</v>
      </c>
      <c r="EF78" s="24" t="s">
        <v>176</v>
      </c>
      <c r="EG78" s="22">
        <f>VLOOKUP(EG60,EG61:EH77,1)</f>
        <v>6</v>
      </c>
      <c r="EH78" s="22">
        <f>VLOOKUP(EH60,EG61:EH77,1)</f>
        <v>6</v>
      </c>
      <c r="EI78" s="22">
        <f>VLOOKUP(EI60,EG61:EH77,1)</f>
        <v>6</v>
      </c>
      <c r="EJ78" s="22">
        <f>VLOOKUP(EJ60,EG61:EH77,1)</f>
        <v>6</v>
      </c>
      <c r="EK78" s="22"/>
      <c r="EL78" s="22"/>
      <c r="EM78" s="22"/>
      <c r="EN78" s="22"/>
      <c r="EO78" s="22"/>
      <c r="EP78" s="22"/>
      <c r="EQ78" s="22"/>
      <c r="ER78" s="22"/>
    </row>
    <row r="79" spans="1:150" ht="14.1" hidden="1" customHeight="1">
      <c r="AM79" s="145">
        <f>AM75</f>
        <v>0</v>
      </c>
      <c r="AN79" s="145"/>
      <c r="AO79" s="145"/>
      <c r="AP79" s="145"/>
      <c r="AQ79" s="145"/>
      <c r="AW79" s="140">
        <f>AW77*AW78</f>
        <v>0</v>
      </c>
      <c r="AY79" s="133" t="s">
        <v>63</v>
      </c>
      <c r="BA79" s="133"/>
      <c r="BB79" s="133"/>
      <c r="BC79" s="133"/>
      <c r="BD79" s="133"/>
      <c r="BE79" s="133" t="s">
        <v>65</v>
      </c>
      <c r="BF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Y79" s="130"/>
      <c r="BZ79" s="136"/>
      <c r="CA79" s="128">
        <f t="shared" si="20"/>
        <v>83</v>
      </c>
      <c r="CB79" s="129">
        <f>IF(SUM(CB$38:CB78)=0,CC79,0)</f>
        <v>0</v>
      </c>
      <c r="CC79" s="129">
        <f>IF(H$5&lt;84,0,IF(G69="G",0,IF(G69="C",0,IF(G69="M",0,IF(G69="K",0,IF(AND(OR($H$10="FULL",$H$10="AUTO"),G69="D"),0,83))))))</f>
        <v>0</v>
      </c>
      <c r="CD79" s="128" t="str">
        <f>IF($H$10="NONE","ENTER CIRCUIT #83 LOAD IDENTIFIER  ( G, C, M, K )","ENTER CIRCUIT #83 LOAD IDENTIFIER  ( G, D, C, M, K )")</f>
        <v>ENTER CIRCUIT #83 LOAD IDENTIFIER  ( G, D, C, M, K )</v>
      </c>
      <c r="CE79" s="129">
        <f>IF(SUM(CE$38:CE78)=0,CF79,0)</f>
        <v>0</v>
      </c>
      <c r="CF79" s="129">
        <f>IF(H$5&lt;84,0,IF(ISBLANK(F69)=TRUE,83,IF(F69=" ",0,IF(F69="H",0,83))))</f>
        <v>0</v>
      </c>
      <c r="CG79" s="128" t="s">
        <v>338</v>
      </c>
      <c r="CH79" s="129">
        <f>IF(SUM(CH$38:CH78)=0,CI79,0)</f>
        <v>0</v>
      </c>
      <c r="CI79" s="132">
        <f>IF($H$5&lt;84,0,IF(ISBLANK($E69)=TRUE,83,IF($E69="N",0,IF($E69=" ",0,83))))</f>
        <v>0</v>
      </c>
      <c r="CJ79" s="128" t="s">
        <v>470</v>
      </c>
      <c r="CK79" s="128"/>
      <c r="CL79" s="128"/>
      <c r="CM79" s="128"/>
      <c r="CN79" s="128"/>
      <c r="CO79" s="128"/>
      <c r="CP79" s="128"/>
      <c r="CQ79" s="37"/>
      <c r="CX79" s="74" t="s">
        <v>193</v>
      </c>
      <c r="CY79" s="27" t="s">
        <v>38</v>
      </c>
      <c r="CZ79" s="27" t="s">
        <v>38</v>
      </c>
      <c r="DA79" s="75" t="s">
        <v>73</v>
      </c>
      <c r="DB79" s="22"/>
      <c r="DC79" s="22"/>
      <c r="DD79" s="22"/>
      <c r="DE79" s="22"/>
      <c r="DF79" s="22"/>
      <c r="DG79" s="22"/>
      <c r="DH79" s="22"/>
      <c r="DJ79" s="22"/>
      <c r="DR79" s="83" t="s">
        <v>492</v>
      </c>
      <c r="DS79" s="27">
        <f>CZ56</f>
        <v>6</v>
      </c>
      <c r="DT79" s="27"/>
      <c r="DU79" s="27"/>
      <c r="DV79" s="27"/>
      <c r="DW79" s="27"/>
      <c r="DX79" s="27"/>
      <c r="DY79" s="27"/>
      <c r="DZ79" s="27"/>
      <c r="EA79" s="27"/>
      <c r="EB79" s="75"/>
      <c r="EC79" s="22"/>
      <c r="ED79" s="22"/>
      <c r="EF79" s="24" t="s">
        <v>130</v>
      </c>
      <c r="EG79" s="84">
        <f>VLOOKUP(EG60,EG61:EH77,2)</f>
        <v>0.50800000000000001</v>
      </c>
      <c r="EH79" s="288">
        <f>VLOOKUP(EH60,EG61:EH77,2)</f>
        <v>0.50800000000000001</v>
      </c>
      <c r="EI79" s="86">
        <f>VLOOKUP(EI60,EG61:EH77,2)</f>
        <v>0.50800000000000001</v>
      </c>
      <c r="EJ79" s="22">
        <f>VLOOKUP(EJ60,EG61:EH77,2)</f>
        <v>0.50800000000000001</v>
      </c>
      <c r="EK79" s="22"/>
      <c r="EL79" s="22"/>
      <c r="EM79" s="22"/>
      <c r="EN79" s="22"/>
      <c r="EO79" s="22"/>
      <c r="EP79" s="22"/>
      <c r="EQ79" s="22"/>
      <c r="ER79" s="22"/>
    </row>
    <row r="80" spans="1:150" ht="14.1" hidden="1" customHeight="1">
      <c r="AM80" s="126" t="s">
        <v>237</v>
      </c>
      <c r="AY80" s="133" t="s">
        <v>65</v>
      </c>
      <c r="BA80" s="133"/>
      <c r="BB80" s="133"/>
      <c r="BC80" s="133"/>
      <c r="BD80" s="133"/>
      <c r="BE80" s="140">
        <f>SUM(BA28:BF69)</f>
        <v>0</v>
      </c>
      <c r="BF80" s="133"/>
      <c r="BK80" s="133"/>
      <c r="BL80" s="133"/>
      <c r="BM80" s="133"/>
      <c r="BN80" s="133"/>
      <c r="BO80" s="133"/>
      <c r="BP80" s="133"/>
      <c r="BQ80" s="133" t="s">
        <v>839</v>
      </c>
      <c r="BR80" s="133"/>
      <c r="BS80" s="140">
        <f>IF(H8=1,BM77,IF(H8="3D",BI77,IF(H8="3Y",BS77)))</f>
        <v>0</v>
      </c>
      <c r="BT80" s="133"/>
      <c r="BU80" s="133"/>
      <c r="BV80" s="133"/>
      <c r="BW80" s="133"/>
      <c r="BY80" s="130"/>
      <c r="BZ80" s="136"/>
      <c r="CA80" s="128">
        <v>84</v>
      </c>
      <c r="CB80" s="129">
        <f>IF(SUM(CB$38:CB79)=0,CC80,0)</f>
        <v>0</v>
      </c>
      <c r="CC80" s="129">
        <f>IF(H8&lt;&gt;"3D",0,IF(Calcs!U27&gt;0,84,0))</f>
        <v>0</v>
      </c>
      <c r="CD80" s="133" t="s">
        <v>567</v>
      </c>
      <c r="CE80" s="129"/>
      <c r="CF80" s="129"/>
      <c r="CG80" s="128"/>
      <c r="CI80" s="132"/>
      <c r="CJ80" s="128"/>
      <c r="CK80" s="128"/>
      <c r="CL80" s="128"/>
      <c r="CM80" s="128"/>
      <c r="CN80" s="128"/>
      <c r="CO80" s="128"/>
      <c r="CP80" s="128"/>
      <c r="CQ80" s="37"/>
      <c r="CX80" s="74" t="s">
        <v>194</v>
      </c>
      <c r="CY80" s="27" t="s">
        <v>74</v>
      </c>
      <c r="CZ80" s="27" t="s">
        <v>7</v>
      </c>
      <c r="DA80" s="75" t="s">
        <v>21</v>
      </c>
      <c r="DB80" s="22"/>
      <c r="DC80" s="22"/>
      <c r="DD80" s="22"/>
      <c r="DE80" s="22"/>
      <c r="DF80" s="22"/>
      <c r="DG80" s="22"/>
      <c r="DH80" s="22"/>
      <c r="DJ80" s="22"/>
      <c r="DR80" s="83" t="s">
        <v>493</v>
      </c>
      <c r="DS80" s="27">
        <f>IF(H10="NONE",0,VLOOKUP(DS79,DS58:DT73,2))</f>
        <v>8.2400000000000001E-2</v>
      </c>
      <c r="DT80" s="27" t="s">
        <v>17</v>
      </c>
      <c r="DU80" s="27"/>
      <c r="DV80" s="27"/>
      <c r="DW80" s="27">
        <f>IF(AND($H$10="AUTO",DS76&lt;&gt;DS80),1,IF($H$10="NONE",0,0))</f>
        <v>0</v>
      </c>
      <c r="DX80" s="27">
        <f>SUM(DU80:DW80)</f>
        <v>0</v>
      </c>
      <c r="DY80" s="27" t="s">
        <v>135</v>
      </c>
      <c r="DZ80" s="27">
        <f>IF($H$10="NONE",0,DS80*DX80)</f>
        <v>0</v>
      </c>
      <c r="EA80" s="27">
        <f>IF($H$10="NONE",0,DS80)</f>
        <v>8.2400000000000001E-2</v>
      </c>
      <c r="EB80" s="75">
        <f>IF($H$10="NONE",0,IF(MAX(EA$76:EA$82)=EA80,0,3))</f>
        <v>0</v>
      </c>
      <c r="EC80" s="22">
        <v>4</v>
      </c>
      <c r="ED80" s="22" t="str">
        <f>IF(H10="NONE","",VLOOKUP(DS79,DS58:DV73,4))</f>
        <v>#4</v>
      </c>
      <c r="EF80" s="24" t="s">
        <v>196</v>
      </c>
      <c r="EG80" s="290">
        <f>EG57</f>
        <v>57.9</v>
      </c>
      <c r="EH80" s="293">
        <f>EH57</f>
        <v>57.9</v>
      </c>
      <c r="EI80" s="293">
        <f>EI57</f>
        <v>57.9</v>
      </c>
      <c r="EJ80" s="22">
        <f>EJ57</f>
        <v>57.9</v>
      </c>
      <c r="EK80" s="22"/>
      <c r="EL80" s="22"/>
      <c r="EM80" s="22"/>
      <c r="EN80" s="22"/>
      <c r="EO80" s="22"/>
      <c r="EP80" s="22"/>
      <c r="EQ80" s="22"/>
      <c r="ER80" s="22"/>
    </row>
    <row r="81" spans="39:150" ht="14.1" hidden="1" customHeight="1">
      <c r="AM81" s="133" t="str">
        <f>CONCATENATE(AM77,AM78,AM79,AM80)</f>
        <v>CONTINUOUS LOAD 0 VA X .025 =</v>
      </c>
      <c r="AN81" s="133"/>
      <c r="AO81" s="133"/>
      <c r="AP81" s="133"/>
      <c r="AQ81" s="133"/>
      <c r="AW81" s="140">
        <f>ROUND((AY81/H6/1.732),0)</f>
        <v>0</v>
      </c>
      <c r="AY81" s="140">
        <f>SUM(AT28:AY69)</f>
        <v>0</v>
      </c>
      <c r="BY81" s="130"/>
      <c r="BZ81" s="136">
        <f>CB81+CE81+CH81</f>
        <v>0</v>
      </c>
      <c r="CA81" s="138" t="str">
        <f>IF(CB81=0," ",VLOOKUP(CB81,CA38:CD80,4))</f>
        <v xml:space="preserve"> </v>
      </c>
      <c r="CB81" s="139">
        <f>IF(CC11&gt;0,0,IF(CC30&gt;0,0,SUM(CB38:CB80)))</f>
        <v>0</v>
      </c>
      <c r="CC81" s="136"/>
      <c r="CD81" s="136"/>
      <c r="CE81" s="228">
        <f>IF($H$8=1,0,IF($H$8="3D",0,SUM(CE38:CE79)))</f>
        <v>0</v>
      </c>
      <c r="CF81" s="136"/>
      <c r="CG81" s="136"/>
      <c r="CH81" s="260">
        <f>IF($H$10&lt;&gt;"AUTO",0,SUM(CH38:CH79))</f>
        <v>0</v>
      </c>
      <c r="CI81" s="136"/>
      <c r="CJ81" s="259" t="str">
        <f>IF(CH81=0," ",VLOOKUP(CH81,CA38:CJ79,10))</f>
        <v xml:space="preserve"> </v>
      </c>
      <c r="CK81" s="138"/>
      <c r="CL81" s="138"/>
      <c r="CM81" s="138"/>
      <c r="CN81" s="138"/>
      <c r="CO81" s="138"/>
      <c r="CP81" s="136"/>
      <c r="CQ81" s="37"/>
      <c r="CX81" s="76">
        <f>IF(CY60="N",0,VLOOKUP(CY61,CX67:DH76,3))</f>
        <v>60</v>
      </c>
      <c r="CY81" s="81" t="str">
        <f>IF(CY60="N","NONE",VLOOKUP(CY61,CX67:DH76,4))</f>
        <v>#8</v>
      </c>
      <c r="CZ81" s="81">
        <f>IF(CY60="N",0,VLOOKUP(CY61,CX67:DH76,5))</f>
        <v>4</v>
      </c>
      <c r="DA81" s="72">
        <f>IF(CY60="N",0,DA54)</f>
        <v>1</v>
      </c>
      <c r="DB81" s="22"/>
      <c r="DC81" s="22"/>
      <c r="DD81" s="22"/>
      <c r="DE81" s="22"/>
      <c r="DF81" s="22"/>
      <c r="DG81" s="22"/>
      <c r="DH81" s="22"/>
      <c r="DJ81" s="22"/>
      <c r="DR81" s="83" t="s">
        <v>64</v>
      </c>
      <c r="DS81" s="27">
        <f>IF(H12="N",0,VLOOKUP(DS48,DS58:DT73,1))</f>
        <v>4</v>
      </c>
      <c r="DT81" s="27"/>
      <c r="DU81" s="27"/>
      <c r="DV81" s="27"/>
      <c r="DW81" s="27"/>
      <c r="DX81" s="27"/>
      <c r="DY81" s="27"/>
      <c r="DZ81" s="27"/>
      <c r="EA81" s="27"/>
      <c r="EB81" s="75"/>
      <c r="EC81" s="22"/>
      <c r="ED81" s="22"/>
      <c r="EF81" s="24"/>
      <c r="EG81" s="31"/>
      <c r="EH81" s="85"/>
      <c r="EI81" s="86"/>
      <c r="EJ81" s="22"/>
      <c r="EK81" s="22"/>
      <c r="EL81" s="22"/>
      <c r="EM81" s="22"/>
      <c r="EN81" s="22"/>
      <c r="EO81" s="22"/>
      <c r="EP81" s="22"/>
      <c r="EQ81" s="22"/>
      <c r="ER81" s="22"/>
    </row>
    <row r="82" spans="39:150" ht="14.1" hidden="1" customHeight="1">
      <c r="BY82" s="130"/>
      <c r="BZ82" s="136"/>
      <c r="CA82" s="138" t="str">
        <f>IF(CE81=0," ",VLOOKUP(CE81,CA38:CG79,7))</f>
        <v xml:space="preserve"> </v>
      </c>
      <c r="CB82" s="138" t="str">
        <f>IF(CB81&gt;0,CA81,IF(CE81&gt;0,CA82,IF(CH81&gt;0,CJ81," ")))</f>
        <v xml:space="preserve"> </v>
      </c>
      <c r="CC82" s="136"/>
      <c r="CD82" s="138"/>
      <c r="CE82" s="133" t="s">
        <v>12</v>
      </c>
      <c r="CF82" s="136"/>
      <c r="CG82" s="136"/>
      <c r="CH82" s="136"/>
      <c r="CI82" s="136"/>
      <c r="CJ82" s="136"/>
      <c r="CK82" s="136"/>
      <c r="CL82" s="136"/>
      <c r="CM82" s="136"/>
      <c r="CN82" s="136"/>
      <c r="CO82" s="136"/>
      <c r="CP82" s="136"/>
      <c r="CQ82" s="37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J82" s="22"/>
      <c r="DR82" s="83" t="s">
        <v>96</v>
      </c>
      <c r="DS82" s="27">
        <f>IF(H12="N",0,VLOOKUP(DS48,DS58:DT73,2))</f>
        <v>3.6600000000000001E-2</v>
      </c>
      <c r="DT82" s="27" t="s">
        <v>17</v>
      </c>
      <c r="DU82" s="27"/>
      <c r="DV82" s="27"/>
      <c r="DW82" s="27"/>
      <c r="DX82" s="27">
        <f>IF(H12="Y",1,0)</f>
        <v>1</v>
      </c>
      <c r="DY82" s="27" t="s">
        <v>135</v>
      </c>
      <c r="DZ82" s="27">
        <f>IF(H12="N",0,DS82*DX82)</f>
        <v>3.6600000000000001E-2</v>
      </c>
      <c r="EA82" s="27">
        <f>IF(H12="N",0,DS82)</f>
        <v>3.6600000000000001E-2</v>
      </c>
      <c r="EB82" s="75">
        <f>IF(H12="N",0,IF(MAX(EA$76:EA$82)=EA82,0,5))</f>
        <v>5</v>
      </c>
      <c r="EC82" s="22">
        <v>0</v>
      </c>
      <c r="ED82" s="22" t="str">
        <f>IF(H12="N",0,VLOOKUP(DS48,DS58:DV73,4))</f>
        <v>#8</v>
      </c>
      <c r="EF82" s="24"/>
      <c r="EG82" s="31"/>
      <c r="EH82" s="85"/>
      <c r="EI82" s="86"/>
      <c r="EJ82" s="22"/>
      <c r="EK82" s="22"/>
      <c r="EL82" s="22"/>
      <c r="EM82" s="22"/>
      <c r="EN82" s="22"/>
      <c r="EO82" s="22"/>
      <c r="EP82" s="22"/>
      <c r="EQ82" s="22"/>
      <c r="ER82" s="22"/>
    </row>
    <row r="83" spans="39:150" ht="14.1" hidden="1" customHeight="1">
      <c r="BY83" s="130"/>
      <c r="BZ83" s="136"/>
      <c r="CA83" s="128">
        <v>2</v>
      </c>
      <c r="CB83" s="129">
        <f>CC83</f>
        <v>0</v>
      </c>
      <c r="CC83" s="129">
        <f>IF(H$5&lt;2,0,IF(K28="G",0,IF(K28="C",0,IF(K28="M",0,IF(K28="K",0,IF(AND(OR($H$10="FULL",$H$10="AUTO"),K28="D"),0,2))))))</f>
        <v>0</v>
      </c>
      <c r="CD83" s="128" t="str">
        <f>IF($H$10="NONE","ENTER CIRCUIT #2 LOAD IDENTIFIER  ( G, C, M, K )","ENTER CIRCUIT #2 LOAD IDENTIFIER  ( G, D, C, M, K )")</f>
        <v>ENTER CIRCUIT #2 LOAD IDENTIFIER  ( G, D, C, M, K )</v>
      </c>
      <c r="CE83" s="129">
        <f>CF83</f>
        <v>0</v>
      </c>
      <c r="CF83" s="129">
        <f>IF(H$5&lt;2,0,IF(ISBLANK(L28)=TRUE,2,IF(L28=" ",0,IF(L28="H",0,2))))</f>
        <v>0</v>
      </c>
      <c r="CG83" s="128" t="s">
        <v>138</v>
      </c>
      <c r="CH83" s="129">
        <f>CI83</f>
        <v>0</v>
      </c>
      <c r="CI83" s="132">
        <f>IF($H$5&lt;2,0,IF(ISBLANK($M28)=TRUE,2,IF($M28="N",0,IF($M28=" ",0,2))))</f>
        <v>0</v>
      </c>
      <c r="CJ83" s="128" t="s">
        <v>415</v>
      </c>
      <c r="CK83" s="128"/>
      <c r="CL83" s="128"/>
      <c r="CM83" s="128"/>
      <c r="CN83" s="128"/>
      <c r="CO83" s="128"/>
      <c r="CP83" s="128"/>
      <c r="CQ83" s="37"/>
      <c r="CV83" s="16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J83" s="22"/>
      <c r="DR83" s="74"/>
      <c r="DS83" s="27"/>
      <c r="DT83" s="27"/>
      <c r="DU83" s="27"/>
      <c r="DV83" s="27"/>
      <c r="DW83" s="27"/>
      <c r="DX83" s="27"/>
      <c r="DY83" s="27"/>
      <c r="DZ83" s="27"/>
      <c r="EA83" s="27"/>
      <c r="EB83" s="75"/>
      <c r="EC83" s="22"/>
      <c r="ED83" s="22"/>
      <c r="EF83" s="24"/>
      <c r="EG83" s="31"/>
      <c r="EH83" s="85"/>
      <c r="EI83" s="86"/>
      <c r="EJ83" s="22"/>
      <c r="EK83" s="22"/>
      <c r="EL83" s="22"/>
      <c r="EM83" s="22"/>
      <c r="EN83" s="22"/>
      <c r="EO83" s="22"/>
      <c r="EP83" s="22"/>
      <c r="EQ83" s="22"/>
      <c r="ER83" s="22"/>
    </row>
    <row r="84" spans="39:150" ht="14.1" hidden="1" customHeight="1">
      <c r="BY84" s="130"/>
      <c r="BZ84" s="136"/>
      <c r="CA84" s="128">
        <f t="shared" ref="CA84:CA103" si="24">CA83+2</f>
        <v>4</v>
      </c>
      <c r="CB84" s="129">
        <f>IF(SUM(CC83)=0,CC84,0)</f>
        <v>0</v>
      </c>
      <c r="CC84" s="129">
        <f>IF(H$5&lt;4,0,IF(K29="G",0,IF(K29="C",0,IF(K29="M",0,IF(K29="K",0,IF(AND(OR($H$10="FULL",$H$10="AUTO"),OR($H$8=1,$H$8="3Y"),K29="D"),0,4))))))</f>
        <v>0</v>
      </c>
      <c r="CD84" s="128" t="str">
        <f>IF($H$10="NONE","ENTER CIRCUIT #4 LOAD IDENTIFIER  ( G, C, M, K )",IF($H$8="3D","ENTER CIRCUIT #4 LOAD IDENTIFIER  ( G, C, M, K )","ENTER CIRCUIT #4 LOAD IDENTIFIER  ( G, D, C, M, K )"))</f>
        <v>ENTER CIRCUIT #4 LOAD IDENTIFIER  ( G, D, C, M, K )</v>
      </c>
      <c r="CE84" s="129">
        <f>IF(SUM(CF83)=0,CF84,0)</f>
        <v>0</v>
      </c>
      <c r="CF84" s="129">
        <f>IF(H$5&lt;4,0,IF(ISBLANK(L29)=TRUE,4,IF(L29=" ",0,IF(L29="H",0,4))))</f>
        <v>0</v>
      </c>
      <c r="CG84" s="128" t="s">
        <v>140</v>
      </c>
      <c r="CH84" s="129">
        <f>IF(SUM(CI83)=0,CI84,0)</f>
        <v>0</v>
      </c>
      <c r="CI84" s="132">
        <f>IF($H$5&lt;4,0,IF(ISBLANK($M29)=TRUE,4,IF($M29=" ",0,IF(AND($H$8&lt;&gt;"3D",$M29="N"),0,4))))</f>
        <v>0</v>
      </c>
      <c r="CJ84" s="128" t="str">
        <f>IF($H$8&lt;&gt;"3D","ENTER CIRCUIT #4 NEUTRAL IDENTIFIER  ( N or SPACE )","ENTER CIRCUIT #4 NEUTRAL IDENTIFIER  ( SPACE )")</f>
        <v>ENTER CIRCUIT #4 NEUTRAL IDENTIFIER  ( N or SPACE )</v>
      </c>
      <c r="CK84" s="128"/>
      <c r="CL84" s="128"/>
      <c r="CM84" s="128"/>
      <c r="CN84" s="128"/>
      <c r="CO84" s="128"/>
      <c r="CP84" s="128"/>
      <c r="CQ84" s="37"/>
      <c r="CW84" s="24"/>
      <c r="CX84" s="24"/>
      <c r="CY84" s="24"/>
      <c r="CZ84" s="24"/>
      <c r="DA84" s="24"/>
      <c r="DB84" s="24"/>
      <c r="DR84" s="71" t="s">
        <v>195</v>
      </c>
      <c r="DS84" s="81"/>
      <c r="DT84" s="81"/>
      <c r="DU84" s="81"/>
      <c r="DV84" s="81"/>
      <c r="DW84" s="81"/>
      <c r="DX84" s="81">
        <f>SUM(DX75:DX83)</f>
        <v>5</v>
      </c>
      <c r="DY84" s="81"/>
      <c r="DZ84" s="81">
        <f>SUM(DZ75:DZ83)</f>
        <v>0.36620000000000003</v>
      </c>
      <c r="EA84" s="81"/>
      <c r="EB84" s="72">
        <f>SUM(EB75:EB83)</f>
        <v>5</v>
      </c>
      <c r="EC84" s="22">
        <f>SUM(EC75:EC83)</f>
        <v>8</v>
      </c>
      <c r="ED84" s="22"/>
      <c r="EF84" s="24"/>
      <c r="EG84" s="31"/>
      <c r="EH84" s="85"/>
      <c r="EI84" s="86"/>
      <c r="EJ84" s="22"/>
      <c r="EK84" s="22"/>
      <c r="EL84" s="22"/>
      <c r="EM84" s="22"/>
      <c r="EN84" s="22"/>
      <c r="EO84" s="22" t="str">
        <f>CONCATENATE(EO89,EO90,EO91,EO92,EO93,EO94,EO95,EO96,EO97,EO98,EO99,EO100,EO101,EO102)</f>
        <v>( 2 X 10' L X 0.5080 R X 57.9 A ÷ 1,000 )  = 0.6 VD</v>
      </c>
      <c r="EP84" s="22"/>
      <c r="EQ84" s="22"/>
      <c r="ER84" s="22"/>
    </row>
    <row r="85" spans="39:150" ht="14.1" hidden="1" customHeight="1">
      <c r="BY85" s="130"/>
      <c r="BZ85" s="136"/>
      <c r="CA85" s="128">
        <f t="shared" si="24"/>
        <v>6</v>
      </c>
      <c r="CB85" s="129">
        <f>IF(SUM(CB$83:CB84)=0,CC85,0)</f>
        <v>0</v>
      </c>
      <c r="CC85" s="129">
        <f>IF(H$5&lt;6,0,IF(K30="G",0,IF(K30="C",0,IF(K30="M",0,IF(K30="K",0,IF(AND(OR($H$10="FULL",$H$10="AUTO"),K30="D"),0,6))))))</f>
        <v>0</v>
      </c>
      <c r="CD85" s="128" t="str">
        <f>IF($H$10="NONE","ENTER CIRCUIT #6 LOAD IDENTIFIER  ( G, C, M, K )","ENTER CIRCUIT #6 LOAD IDENTIFIER  ( G, D, C, M, K )")</f>
        <v>ENTER CIRCUIT #6 LOAD IDENTIFIER  ( G, D, C, M, K )</v>
      </c>
      <c r="CE85" s="129">
        <f>IF(SUM(CE83:CE84)=0,CF85,0)</f>
        <v>0</v>
      </c>
      <c r="CF85" s="129">
        <f>IF(H$5&lt;6,0,IF(ISBLANK(L30)=TRUE,6,IF(L30=" ",0,IF(L30="H",0,6))))</f>
        <v>0</v>
      </c>
      <c r="CG85" s="128" t="s">
        <v>142</v>
      </c>
      <c r="CH85" s="129">
        <f>IF(SUM(CH$83:CH84)=0,CI85,0)</f>
        <v>0</v>
      </c>
      <c r="CI85" s="132">
        <f>IF($H$5&lt;6,0,IF(ISBLANK($M30)=TRUE,6,IF($M30="N",0,IF($M30=" ",0,6))))</f>
        <v>0</v>
      </c>
      <c r="CJ85" s="128" t="s">
        <v>416</v>
      </c>
      <c r="CK85" s="128"/>
      <c r="CL85" s="128"/>
      <c r="CM85" s="128"/>
      <c r="CN85" s="128"/>
      <c r="CO85" s="128"/>
      <c r="CP85" s="128"/>
      <c r="CQ85" s="37"/>
      <c r="CW85" s="24"/>
      <c r="CX85" s="24"/>
      <c r="CY85" s="24"/>
      <c r="CZ85" s="24"/>
      <c r="DA85" s="24"/>
      <c r="DB85" s="24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F85" s="24"/>
      <c r="EG85" s="31"/>
      <c r="EH85" s="85"/>
      <c r="EI85" s="86"/>
      <c r="EJ85" s="22"/>
      <c r="EK85" s="22"/>
      <c r="EL85" s="22"/>
      <c r="EM85" s="22"/>
      <c r="EN85" s="22"/>
      <c r="EO85" s="22"/>
      <c r="EP85" s="22"/>
      <c r="EQ85" s="22"/>
      <c r="ER85" s="22"/>
    </row>
    <row r="86" spans="39:150" ht="14.1" hidden="1" customHeight="1">
      <c r="AZ86" s="150"/>
      <c r="BY86" s="130"/>
      <c r="BZ86" s="136"/>
      <c r="CA86" s="128">
        <f t="shared" si="24"/>
        <v>8</v>
      </c>
      <c r="CB86" s="129">
        <f>IF(SUM(CB$83:CB85)=0,CC86,0)</f>
        <v>0</v>
      </c>
      <c r="CC86" s="129">
        <f>IF(H$5&lt;8,0,IF(K31="G",0,IF(K31="C",0,IF(K31="M",0,IF(K31="K",0,IF(AND(OR($H$10="FULL",$H$10="AUTO"),K31="D"),0,8))))))</f>
        <v>0</v>
      </c>
      <c r="CD86" s="128" t="str">
        <f>IF($H$10="NONE","ENTER CIRCUIT #8 LOAD IDENTIFIER  ( G, C, M, K )","ENTER CIRCUIT #8 LOAD IDENTIFIER  ( G, D, C, M, K )")</f>
        <v>ENTER CIRCUIT #8 LOAD IDENTIFIER  ( G, D, C, M, K )</v>
      </c>
      <c r="CE86" s="129">
        <f>IF(SUM(CE$83:CE85)=0,CF86,0)</f>
        <v>0</v>
      </c>
      <c r="CF86" s="129">
        <f>IF(H$5&lt;8,0,IF(ISBLANK(L31)=TRUE,8,IF(L31=" ",0,IF(L31="H",0,8))))</f>
        <v>0</v>
      </c>
      <c r="CG86" s="128" t="s">
        <v>145</v>
      </c>
      <c r="CH86" s="129">
        <f>IF(SUM(CH$83:CH85)=0,CI86,0)</f>
        <v>0</v>
      </c>
      <c r="CI86" s="132">
        <f>IF($H$5&lt;8,0,IF(ISBLANK($M31)=TRUE,8,IF($M31="N",0,IF($M31=" ",0,8))))</f>
        <v>0</v>
      </c>
      <c r="CJ86" s="128" t="s">
        <v>417</v>
      </c>
      <c r="CK86" s="128"/>
      <c r="CL86" s="128"/>
      <c r="CM86" s="128"/>
      <c r="CN86" s="128"/>
      <c r="CO86" s="128"/>
      <c r="CP86" s="128"/>
      <c r="CQ86" s="37"/>
      <c r="CW86" s="24"/>
      <c r="CX86" s="24"/>
      <c r="CY86" s="24"/>
      <c r="CZ86" s="24"/>
      <c r="DA86" s="24"/>
      <c r="DB86" s="24"/>
      <c r="DR86" s="22"/>
      <c r="DS86" s="22"/>
      <c r="DT86" s="22"/>
      <c r="DU86" s="22"/>
      <c r="DV86" s="22"/>
      <c r="DW86" s="22" t="s">
        <v>12</v>
      </c>
      <c r="DX86" s="31" t="str">
        <f>H14</f>
        <v>AL</v>
      </c>
      <c r="DY86" s="22" t="s">
        <v>843</v>
      </c>
      <c r="DZ86" s="22" t="s">
        <v>844</v>
      </c>
      <c r="EA86" s="22"/>
      <c r="EB86" s="22"/>
      <c r="EC86" s="22"/>
      <c r="EF86" s="24"/>
      <c r="EG86" s="31"/>
      <c r="EH86" s="85"/>
      <c r="EI86" s="86"/>
      <c r="EJ86" s="22"/>
      <c r="EK86" s="22"/>
      <c r="EL86" s="22"/>
      <c r="EM86" s="22"/>
      <c r="EN86" s="22"/>
      <c r="EO86" s="22"/>
      <c r="EP86" s="22"/>
      <c r="EQ86" s="22"/>
      <c r="ER86" s="22"/>
    </row>
    <row r="87" spans="39:150" ht="14.1" hidden="1" customHeight="1">
      <c r="BY87" s="130"/>
      <c r="BZ87" s="136"/>
      <c r="CA87" s="128">
        <f t="shared" si="24"/>
        <v>10</v>
      </c>
      <c r="CB87" s="129">
        <f>IF(SUM(CB$83:CB86)=0,CC87,0)</f>
        <v>0</v>
      </c>
      <c r="CC87" s="129">
        <f>IF(H$5&lt;10,0,IF(K32="G",0,IF(K32="C",0,IF(K32="M",0,IF(K32="K",0,IF(AND(OR($H$10="FULL",$H$10="AUTO"),OR($H$8=1,$H$8="3Y"),K32="D"),0,10))))))</f>
        <v>0</v>
      </c>
      <c r="CD87" s="128" t="str">
        <f>IF($H$10="NONE","ENTER CIRCUIT #10 LOAD IDENTIFIER  ( G, C, M, K )",IF($H$8="3D","ENTER CIRCUIT #10 LOAD IDENTIFIER  ( G, C, M, K )","ENTER CIRCUIT #10 LOAD IDENTIFIER  ( G, D, C, M, K )"))</f>
        <v>ENTER CIRCUIT #10 LOAD IDENTIFIER  ( G, D, C, M, K )</v>
      </c>
      <c r="CE87" s="129">
        <f>IF(SUM(CE$83:CE86)=0,CF87,0)</f>
        <v>0</v>
      </c>
      <c r="CF87" s="129">
        <f>IF(H$5&lt;10,0,IF(ISBLANK(L32)=TRUE,10,IF(L32=" ",0,IF(L32="H",0,10))))</f>
        <v>0</v>
      </c>
      <c r="CG87" s="128" t="s">
        <v>146</v>
      </c>
      <c r="CH87" s="129">
        <f>IF(SUM(CH$83:CH86)=0,CI87,0)</f>
        <v>0</v>
      </c>
      <c r="CI87" s="132">
        <f>IF($H$5&lt;10,0,IF(ISBLANK($M32)=TRUE,10,IF($M32=" ",0,IF(AND($H$8&lt;&gt;"3D",$M32="N"),0,10))))</f>
        <v>0</v>
      </c>
      <c r="CJ87" s="128" t="str">
        <f>IF($H$8&lt;&gt;"3D","ENTER CIRCUIT #10 NEUTRAL IDENTIFIER  ( N or SPACE )","ENTER CIRCUIT #10 NEUTRAL IDENTIFIER  ( SPACE )")</f>
        <v>ENTER CIRCUIT #10 NEUTRAL IDENTIFIER  ( N or SPACE )</v>
      </c>
      <c r="CK87" s="128"/>
      <c r="CL87" s="128"/>
      <c r="CM87" s="128"/>
      <c r="CN87" s="128"/>
      <c r="CO87" s="128"/>
      <c r="CP87" s="128"/>
      <c r="CQ87" s="37"/>
      <c r="CW87" s="24"/>
      <c r="CX87" s="24"/>
      <c r="CY87" s="24"/>
      <c r="CZ87" s="24"/>
      <c r="DA87" s="24"/>
      <c r="DB87" s="24"/>
      <c r="DR87" s="22"/>
      <c r="DS87" s="22" t="s">
        <v>12</v>
      </c>
      <c r="DT87" s="22">
        <f>IF(DX76&gt;0,DX76," ")</f>
        <v>4</v>
      </c>
      <c r="DU87" s="22" t="s">
        <v>361</v>
      </c>
      <c r="DV87" s="22" t="str">
        <f>IF(DT87&gt;0,ED76," ")</f>
        <v>#4</v>
      </c>
      <c r="DW87" s="31" t="s">
        <v>12</v>
      </c>
      <c r="DX87" s="31" t="str">
        <f>H13</f>
        <v>THHN</v>
      </c>
      <c r="DY87" s="24" t="str">
        <f>CONCATENATE(DS87,DT87,DU87,DV87,DW87,DX87,DW86,DX86)</f>
        <v xml:space="preserve"> 4-#4 THHN AL</v>
      </c>
      <c r="DZ87" s="22"/>
      <c r="EA87" s="22"/>
      <c r="EB87" s="22"/>
      <c r="EC87" s="22"/>
      <c r="ED87" s="22"/>
      <c r="EE87" s="22"/>
      <c r="EF87" s="24"/>
      <c r="EG87" s="31"/>
      <c r="EH87" s="85"/>
      <c r="EI87" s="86" t="s">
        <v>523</v>
      </c>
      <c r="EJ87" s="22" t="s">
        <v>523</v>
      </c>
      <c r="EK87" s="22"/>
      <c r="EL87" s="22"/>
      <c r="EM87" s="22"/>
      <c r="EN87" s="22"/>
      <c r="EO87" s="22"/>
      <c r="EP87" s="22"/>
      <c r="EQ87" s="22" t="s">
        <v>536</v>
      </c>
      <c r="ER87" s="22" t="s">
        <v>536</v>
      </c>
      <c r="ES87" s="22" t="s">
        <v>536</v>
      </c>
      <c r="ET87" s="22" t="s">
        <v>536</v>
      </c>
    </row>
    <row r="88" spans="39:150" ht="14.1" hidden="1" customHeight="1">
      <c r="BY88" s="130"/>
      <c r="BZ88" s="136"/>
      <c r="CA88" s="128">
        <f t="shared" si="24"/>
        <v>12</v>
      </c>
      <c r="CB88" s="129">
        <f>IF(SUM(CB$83:CB87)=0,CC88,0)</f>
        <v>0</v>
      </c>
      <c r="CC88" s="129">
        <f>IF(H$5&lt;12,0,IF(K33="G",0,IF(K33="C",0,IF(K33="M",0,IF(K33="K",0,IF(AND(OR($H$10="FULL",$H$10="AUTO"),K33="D"),0,12))))))</f>
        <v>0</v>
      </c>
      <c r="CD88" s="128" t="str">
        <f>IF($H$10="NONE","ENTER CIRCUIT #12 LOAD IDENTIFIER  ( G, C, M, K )","ENTER CIRCUIT #12 LOAD IDENTIFIER  ( G, D, C, M, K )")</f>
        <v>ENTER CIRCUIT #12 LOAD IDENTIFIER  ( G, D, C, M, K )</v>
      </c>
      <c r="CE88" s="129">
        <f>IF(SUM(CE$83:CE87)=0,CF88,0)</f>
        <v>0</v>
      </c>
      <c r="CF88" s="129">
        <f>IF(H$5&lt;12,0,IF(ISBLANK(L33)=TRUE,12,IF(L33=" ",0,IF(L33="H",0,12))))</f>
        <v>0</v>
      </c>
      <c r="CG88" s="128" t="s">
        <v>148</v>
      </c>
      <c r="CH88" s="129">
        <f>IF(SUM(CH$83:CH87)=0,CI88,0)</f>
        <v>0</v>
      </c>
      <c r="CI88" s="132">
        <f>IF($H$5&lt;12,0,IF(ISBLANK($M33)=TRUE,12,IF($M33="N",0,IF($M33=" ",0,12))))</f>
        <v>0</v>
      </c>
      <c r="CJ88" s="128" t="s">
        <v>418</v>
      </c>
      <c r="CK88" s="128"/>
      <c r="CL88" s="128"/>
      <c r="CM88" s="128"/>
      <c r="CN88" s="128"/>
      <c r="CO88" s="128"/>
      <c r="CP88" s="128"/>
      <c r="CQ88" s="37"/>
      <c r="CW88" s="24"/>
      <c r="CX88" s="24"/>
      <c r="CY88" s="24"/>
      <c r="CZ88" s="24"/>
      <c r="DA88" s="24"/>
      <c r="DB88" s="24"/>
      <c r="DR88" s="22"/>
      <c r="DS88" s="22" t="s">
        <v>12</v>
      </c>
      <c r="DT88" s="22">
        <f>IF(DX78&gt;0,DX78,0)</f>
        <v>0</v>
      </c>
      <c r="DU88" s="22" t="s">
        <v>361</v>
      </c>
      <c r="DV88" s="22" t="str">
        <f>IF(DT88&gt;0,ED78," ")</f>
        <v xml:space="preserve"> </v>
      </c>
      <c r="DW88" s="31" t="s">
        <v>12</v>
      </c>
      <c r="DX88" s="31" t="str">
        <f>H13</f>
        <v>THHN</v>
      </c>
      <c r="DY88" s="24" t="str">
        <f>IF(DT88=0,"",CONCATENATE(DS88,DT88,DU88,DV88,DW88,DX88,DW86,DX86,DY86))</f>
        <v/>
      </c>
      <c r="DZ88" s="22"/>
      <c r="EA88" s="22"/>
      <c r="EB88" s="22"/>
      <c r="EC88" s="22"/>
      <c r="ED88" s="22"/>
      <c r="EE88" s="22"/>
      <c r="EF88" s="24"/>
      <c r="EG88" s="22" t="s">
        <v>401</v>
      </c>
      <c r="EH88" s="85" t="s">
        <v>478</v>
      </c>
      <c r="EI88" s="86" t="s">
        <v>56</v>
      </c>
      <c r="EJ88" s="22" t="s">
        <v>541</v>
      </c>
      <c r="EK88" s="22"/>
      <c r="EL88" s="22" t="s">
        <v>401</v>
      </c>
      <c r="EM88" s="22" t="s">
        <v>478</v>
      </c>
      <c r="EN88" s="22" t="s">
        <v>56</v>
      </c>
      <c r="EO88" s="22" t="s">
        <v>541</v>
      </c>
      <c r="EP88" s="22"/>
      <c r="EQ88" s="22" t="s">
        <v>401</v>
      </c>
      <c r="ER88" s="22" t="s">
        <v>403</v>
      </c>
      <c r="ES88" s="22" t="s">
        <v>56</v>
      </c>
      <c r="ET88" s="22" t="s">
        <v>541</v>
      </c>
    </row>
    <row r="89" spans="39:150" ht="14.1" hidden="1" customHeight="1">
      <c r="BY89" s="130"/>
      <c r="BZ89" s="136"/>
      <c r="CA89" s="128">
        <f t="shared" si="24"/>
        <v>14</v>
      </c>
      <c r="CB89" s="129">
        <f>IF(SUM(CB$83:CB88)=0,CC89,0)</f>
        <v>0</v>
      </c>
      <c r="CC89" s="129">
        <f>IF(H$5&lt;14,0,IF(K34="G",0,IF(K34="C",0,IF(K34="M",0,IF(K34="K",0,IF(AND(OR($H$10="FULL",$H$10="AUTO"),K34="D"),0,14))))))</f>
        <v>0</v>
      </c>
      <c r="CD89" s="128" t="str">
        <f>IF($H$10="NONE","ENTER CIRCUIT #14 LOAD IDENTIFIER  ( G, C, M, K )","ENTER CIRCUIT #14 LOAD IDENTIFIER  ( G, D, C, M, K )")</f>
        <v>ENTER CIRCUIT #14 LOAD IDENTIFIER  ( G, D, C, M, K )</v>
      </c>
      <c r="CE89" s="129">
        <f>IF(SUM(CE$83:CE88)=0,CF89,0)</f>
        <v>0</v>
      </c>
      <c r="CF89" s="129">
        <f>IF(H$5&lt;14,0,IF(ISBLANK(L34)=TRUE,14,IF(L34=" ",0,IF(L34="H",0,14))))</f>
        <v>0</v>
      </c>
      <c r="CG89" s="128" t="s">
        <v>151</v>
      </c>
      <c r="CH89" s="129">
        <f>IF(SUM(CH$83:CH88)=0,CI89,0)</f>
        <v>0</v>
      </c>
      <c r="CI89" s="132">
        <f>IF($H$5&lt;14,0,IF(ISBLANK($M34)=TRUE,14,IF($M34="N",0,IF($M34=" ",0,14))))</f>
        <v>0</v>
      </c>
      <c r="CJ89" s="128" t="s">
        <v>419</v>
      </c>
      <c r="CK89" s="128"/>
      <c r="CL89" s="128"/>
      <c r="CM89" s="128"/>
      <c r="CN89" s="128"/>
      <c r="CO89" s="128"/>
      <c r="CP89" s="128"/>
      <c r="CQ89" s="37"/>
      <c r="CW89" s="24"/>
      <c r="CX89" s="24"/>
      <c r="CY89" s="24"/>
      <c r="CZ89" s="24"/>
      <c r="DA89" s="24"/>
      <c r="DB89" s="24"/>
      <c r="DR89" s="22"/>
      <c r="DS89" s="22" t="s">
        <v>12</v>
      </c>
      <c r="DT89" s="22">
        <f>IF(DX80&gt;0,DX80,0)</f>
        <v>0</v>
      </c>
      <c r="DU89" s="22" t="s">
        <v>361</v>
      </c>
      <c r="DV89" s="22" t="str">
        <f>IF(DT89&gt;0,ED80," ")</f>
        <v xml:space="preserve"> </v>
      </c>
      <c r="DW89" s="31" t="s">
        <v>12</v>
      </c>
      <c r="DX89" s="31" t="str">
        <f>H13</f>
        <v>THHN</v>
      </c>
      <c r="DY89" s="24" t="str">
        <f>IF(DT89=0,"",CONCATENATE(DS89,DT89,DU89,DV89,DW89,DX89,DW86,DX86,DZ86))</f>
        <v/>
      </c>
      <c r="DZ89" s="22"/>
      <c r="EA89" s="22"/>
      <c r="EB89" s="22"/>
      <c r="EC89" s="22"/>
      <c r="ED89" s="22"/>
      <c r="EE89" s="22"/>
      <c r="EF89" s="23">
        <v>2</v>
      </c>
      <c r="EG89" s="22">
        <v>2</v>
      </c>
      <c r="EH89" s="22">
        <v>2</v>
      </c>
      <c r="EI89" s="22">
        <v>2</v>
      </c>
      <c r="EJ89" s="22">
        <v>2</v>
      </c>
      <c r="EK89" s="149" t="s">
        <v>245</v>
      </c>
      <c r="EL89" s="149" t="s">
        <v>245</v>
      </c>
      <c r="EM89" s="149" t="s">
        <v>245</v>
      </c>
      <c r="EN89" s="149" t="s">
        <v>245</v>
      </c>
      <c r="EO89" s="149" t="s">
        <v>245</v>
      </c>
      <c r="EP89" s="22" t="s">
        <v>245</v>
      </c>
      <c r="EQ89" s="22" t="s">
        <v>245</v>
      </c>
      <c r="ER89" s="22" t="s">
        <v>245</v>
      </c>
      <c r="ES89" s="22" t="s">
        <v>245</v>
      </c>
      <c r="ET89" s="22" t="s">
        <v>245</v>
      </c>
    </row>
    <row r="90" spans="39:150" ht="14.1" hidden="1" customHeight="1">
      <c r="BY90" s="130"/>
      <c r="BZ90" s="136"/>
      <c r="CA90" s="128">
        <f t="shared" si="24"/>
        <v>16</v>
      </c>
      <c r="CB90" s="129">
        <f>IF(SUM(CB$83:CB89)=0,CC90,0)</f>
        <v>0</v>
      </c>
      <c r="CC90" s="129">
        <f>IF(H$5&lt;16,0,IF(K35="G",0,IF(K35="C",0,IF(K35="M",0,IF(K35="K",0,IF(AND(OR($H$10="FULL",$H$10="AUTO"),OR($H$8=1,$H$8="3Y"),K35="D"),0,16))))))</f>
        <v>0</v>
      </c>
      <c r="CD90" s="128" t="str">
        <f>IF($H$10="NONE","ENTER CIRCUIT #16 LOAD IDENTIFIER  ( G, C, M, K )",IF($H$8="3D","ENTER CIRCUIT #16 LOAD IDENTIFIER  ( G, C, M, K )","ENTER CIRCUIT #16 LOAD IDENTIFIER  ( G, D, C, M, K )"))</f>
        <v>ENTER CIRCUIT #16 LOAD IDENTIFIER  ( G, D, C, M, K )</v>
      </c>
      <c r="CE90" s="129">
        <f>IF(SUM(CE$83:CE89)=0,CF90,0)</f>
        <v>0</v>
      </c>
      <c r="CF90" s="129">
        <f>IF(H$5&lt;16,0,IF(ISBLANK(L35)=TRUE,16,IF(L35=" ",0,IF(L35="H",0,16))))</f>
        <v>0</v>
      </c>
      <c r="CG90" s="128" t="s">
        <v>153</v>
      </c>
      <c r="CH90" s="129">
        <f>IF(SUM(CH$83:CH89)=0,CI90,0)</f>
        <v>0</v>
      </c>
      <c r="CI90" s="132">
        <f>IF($H$5&lt;16,0,IF(ISBLANK($M35)=TRUE,16,IF($M35=" ",0,IF(AND($H$8&lt;&gt;"3D",$M35="N"),0,16))))</f>
        <v>0</v>
      </c>
      <c r="CJ90" s="128" t="str">
        <f>IF($H$8&lt;&gt;"3D","ENTER CIRCUIT #16 NEUTRAL IDENTIFIER  ( N or SPACE )","ENTER CIRCUIT #16 NEUTRAL IDENTIFIER  ( SPACE )")</f>
        <v>ENTER CIRCUIT #16 NEUTRAL IDENTIFIER  ( N or SPACE )</v>
      </c>
      <c r="CK90" s="128"/>
      <c r="CL90" s="128"/>
      <c r="CM90" s="128"/>
      <c r="CN90" s="128"/>
      <c r="CO90" s="128"/>
      <c r="CP90" s="128"/>
      <c r="CQ90" s="37"/>
      <c r="CX90" s="24"/>
      <c r="CY90" s="24"/>
      <c r="CZ90" s="24"/>
      <c r="DA90" s="24"/>
      <c r="DB90" s="24"/>
      <c r="DR90" s="22"/>
      <c r="DS90" s="22" t="s">
        <v>12</v>
      </c>
      <c r="DT90" s="22">
        <f>IF(DX82&gt;0,DX82,0)</f>
        <v>1</v>
      </c>
      <c r="DU90" s="22" t="s">
        <v>361</v>
      </c>
      <c r="DV90" s="22" t="str">
        <f>IF(DT90&gt;0,ED82," ")</f>
        <v>#8</v>
      </c>
      <c r="DW90" s="31" t="s">
        <v>12</v>
      </c>
      <c r="DX90" s="31" t="s">
        <v>825</v>
      </c>
      <c r="DY90" s="24" t="str">
        <f>IF(DT90=0,"",CONCATENATE(DS90,DT90,DU90,DV90,DW90,DX86,DX90))</f>
        <v xml:space="preserve"> 1-#8 AL GND</v>
      </c>
      <c r="DZ90" s="22"/>
      <c r="EA90" s="22"/>
      <c r="EB90" s="22"/>
      <c r="EC90" s="22"/>
      <c r="ED90" s="22"/>
      <c r="EE90" s="22"/>
      <c r="EF90" s="23" t="s">
        <v>197</v>
      </c>
      <c r="EG90" s="291">
        <f>Input!H16</f>
        <v>10</v>
      </c>
      <c r="EH90" s="85">
        <f>Input!H16</f>
        <v>10</v>
      </c>
      <c r="EI90" s="85">
        <f>Input!H16</f>
        <v>10</v>
      </c>
      <c r="EJ90" s="85">
        <f>Input!H16</f>
        <v>10</v>
      </c>
      <c r="EK90" s="149">
        <v>2</v>
      </c>
      <c r="EL90" s="149">
        <v>2</v>
      </c>
      <c r="EM90" s="149">
        <v>2</v>
      </c>
      <c r="EN90" s="149">
        <v>2</v>
      </c>
      <c r="EO90" s="149">
        <v>2</v>
      </c>
      <c r="EP90" s="22" t="s">
        <v>136</v>
      </c>
      <c r="EQ90" s="302" t="str">
        <f>TEXT(EG97, "#,##0.0")</f>
        <v>0.6</v>
      </c>
      <c r="ER90" s="302" t="str">
        <f>TEXT(EH97, "#,##0.0")</f>
        <v>0.5</v>
      </c>
      <c r="ES90" s="302" t="str">
        <f>TEXT(EI97, "#,##0.0")</f>
        <v>0.5</v>
      </c>
      <c r="ET90" s="302" t="str">
        <f>TEXT(EJ97, "#,##0.0")</f>
        <v>0.6</v>
      </c>
    </row>
    <row r="91" spans="39:150" ht="14.1" hidden="1" customHeight="1">
      <c r="BY91" s="130"/>
      <c r="BZ91" s="136"/>
      <c r="CA91" s="128">
        <f t="shared" si="24"/>
        <v>18</v>
      </c>
      <c r="CB91" s="129">
        <f>IF(SUM(CB$83:CB90)=0,CC91,0)</f>
        <v>0</v>
      </c>
      <c r="CC91" s="129">
        <f>IF(H$5&lt;18,0,IF(K36="G",0,IF(K36="C",0,IF(K36="M",0,IF(K36="K",0,IF(AND(OR($H$10="FULL",$H$10="AUTO"),K36="D"),0,18))))))</f>
        <v>0</v>
      </c>
      <c r="CD91" s="128" t="str">
        <f>IF($H$10="NONE","ENTER CIRCUIT #18 LOAD IDENTIFIER  ( G, C, M, K )","ENTER CIRCUIT #18 LOAD IDENTIFIER  ( G, D, C, M, K )")</f>
        <v>ENTER CIRCUIT #18 LOAD IDENTIFIER  ( G, D, C, M, K )</v>
      </c>
      <c r="CE91" s="129">
        <f>IF(SUM(CE$83:CE90)=0,CF91,0)</f>
        <v>0</v>
      </c>
      <c r="CF91" s="129">
        <f>IF(H$5&lt;18,0,IF(ISBLANK(L36)=TRUE,18,IF(L36=" ",0,IF(L36="H",0,18))))</f>
        <v>0</v>
      </c>
      <c r="CG91" s="128" t="s">
        <v>154</v>
      </c>
      <c r="CH91" s="129">
        <f>IF(SUM(CH$83:CH90)=0,CI91,0)</f>
        <v>0</v>
      </c>
      <c r="CI91" s="132">
        <f>IF($H$5&lt;18,0,IF(ISBLANK($M36)=TRUE,18,IF($M36="N",0,IF($M36=" ",0,18))))</f>
        <v>0</v>
      </c>
      <c r="CJ91" s="128" t="s">
        <v>420</v>
      </c>
      <c r="CK91" s="128"/>
      <c r="CL91" s="128"/>
      <c r="CM91" s="128"/>
      <c r="CN91" s="128"/>
      <c r="CO91" s="128"/>
      <c r="CP91" s="128"/>
      <c r="CQ91" s="37"/>
      <c r="CY91" s="23"/>
      <c r="DB91" s="24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3" t="s">
        <v>198</v>
      </c>
      <c r="EG91" s="84">
        <f>ROUND(ET74,4)</f>
        <v>0.50800000000000001</v>
      </c>
      <c r="EH91" s="84">
        <f>ROUND(ET74,4)</f>
        <v>0.50800000000000001</v>
      </c>
      <c r="EI91" s="84">
        <f>ROUND(ET57,4)</f>
        <v>0.50800000000000001</v>
      </c>
      <c r="EJ91" s="84">
        <f>ROUND(ET74,4)</f>
        <v>0.50800000000000001</v>
      </c>
      <c r="EK91" s="149" t="s">
        <v>257</v>
      </c>
      <c r="EL91" s="149" t="s">
        <v>257</v>
      </c>
      <c r="EM91" s="149" t="s">
        <v>257</v>
      </c>
      <c r="EN91" s="149" t="s">
        <v>257</v>
      </c>
      <c r="EO91" s="149" t="s">
        <v>257</v>
      </c>
      <c r="EP91" s="22" t="s">
        <v>550</v>
      </c>
      <c r="EQ91" s="22" t="s">
        <v>551</v>
      </c>
      <c r="ER91" s="22" t="s">
        <v>551</v>
      </c>
      <c r="ES91" s="22" t="s">
        <v>551</v>
      </c>
      <c r="ET91" s="22" t="s">
        <v>551</v>
      </c>
    </row>
    <row r="92" spans="39:150" ht="14.1" hidden="1" customHeight="1">
      <c r="BY92" s="130"/>
      <c r="BZ92" s="136"/>
      <c r="CA92" s="128">
        <f t="shared" si="24"/>
        <v>20</v>
      </c>
      <c r="CB92" s="129">
        <f>IF(SUM(CB$83:CB91)=0,CC92,0)</f>
        <v>0</v>
      </c>
      <c r="CC92" s="129">
        <f>IF(H$5&lt;20,0,IF(K37="G",0,IF(K37="C",0,IF(K37="M",0,IF(K37="K",0,IF(AND(OR($H$10="FULL",$H$10="AUTO"),K37="D"),0,20))))))</f>
        <v>0</v>
      </c>
      <c r="CD92" s="128" t="str">
        <f>IF($H$10="NONE","ENTER CIRCUIT #20 LOAD IDENTIFIER  ( G, C, M, K )","ENTER CIRCUIT #20 LOAD IDENTIFIER  ( G, D, C, M, K )")</f>
        <v>ENTER CIRCUIT #20 LOAD IDENTIFIER  ( G, D, C, M, K )</v>
      </c>
      <c r="CE92" s="129">
        <f>IF(SUM(CE$83:CE91)=0,CF92,0)</f>
        <v>0</v>
      </c>
      <c r="CF92" s="129">
        <f>IF(H$5&lt;20,0,IF(ISBLANK(L37)=TRUE,20,IF(L37=" ",0,IF(L37="H",0,20))))</f>
        <v>0</v>
      </c>
      <c r="CG92" s="128" t="s">
        <v>156</v>
      </c>
      <c r="CH92" s="129">
        <f>IF(SUM(CH$83:CH91)=0,CI92,0)</f>
        <v>0</v>
      </c>
      <c r="CI92" s="132">
        <f>IF($H$5&lt;20,0,IF(ISBLANK($M37)=TRUE,20,IF($M37="N",0,IF($M37=" ",0,20))))</f>
        <v>0</v>
      </c>
      <c r="CJ92" s="128" t="s">
        <v>421</v>
      </c>
      <c r="CK92" s="128"/>
      <c r="CL92" s="128"/>
      <c r="CM92" s="128"/>
      <c r="CN92" s="128"/>
      <c r="CO92" s="128"/>
      <c r="CP92" s="128"/>
      <c r="CQ92" s="37"/>
      <c r="CY92" s="23"/>
      <c r="DB92" s="24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3" t="s">
        <v>199</v>
      </c>
      <c r="EG92" s="292">
        <f>ROUND(EG80,1)</f>
        <v>57.9</v>
      </c>
      <c r="EH92" s="292">
        <f>ROUND(EH80,1)</f>
        <v>57.9</v>
      </c>
      <c r="EI92" s="292">
        <f>ROUND(EI80,1)</f>
        <v>57.9</v>
      </c>
      <c r="EJ92" s="292">
        <f>ROUND(EJ80,1)</f>
        <v>57.9</v>
      </c>
      <c r="EK92" s="149" t="s">
        <v>258</v>
      </c>
      <c r="EL92" s="153" t="str">
        <f>TEXT(EG90, "#,##0")</f>
        <v>10</v>
      </c>
      <c r="EM92" s="153" t="str">
        <f>TEXT(EH90, "#,##0")</f>
        <v>10</v>
      </c>
      <c r="EN92" s="153" t="str">
        <f>TEXT(EI90, "#,##0")</f>
        <v>10</v>
      </c>
      <c r="EO92" s="153" t="str">
        <f>EN92</f>
        <v>10</v>
      </c>
      <c r="EP92" s="22" t="s">
        <v>143</v>
      </c>
      <c r="EQ92" s="31">
        <f>EG58</f>
        <v>240</v>
      </c>
      <c r="ER92" s="31">
        <f>EG58</f>
        <v>240</v>
      </c>
      <c r="ES92" s="31">
        <f>EG58</f>
        <v>240</v>
      </c>
      <c r="ET92" s="31">
        <f>EG58</f>
        <v>240</v>
      </c>
    </row>
    <row r="93" spans="39:150" ht="14.1" hidden="1" customHeight="1">
      <c r="BY93" s="130"/>
      <c r="BZ93" s="136"/>
      <c r="CA93" s="128">
        <f t="shared" si="24"/>
        <v>22</v>
      </c>
      <c r="CB93" s="129">
        <f>IF(SUM(CB$83:CB92)=0,CC93,0)</f>
        <v>0</v>
      </c>
      <c r="CC93" s="129">
        <f>IF(H$5&lt;22,0,IF(K38="G",0,IF(K38="C",0,IF(K38="M",0,IF(K38="K",0,IF(AND(OR($H$10="FULL",$H$10="AUTO"),OR($H$8=1,$H$8="3Y"),K38="D"),0,22))))))</f>
        <v>0</v>
      </c>
      <c r="CD93" s="128" t="str">
        <f>IF($H$10="NONE","ENTER CIRCUIT #22 LOAD IDENTIFIER  ( G, C, M, K )",IF($H$8="3D","ENTER CIRCUIT #22 LOAD IDENTIFIER  ( G, C, M, K )","ENTER CIRCUIT #22 LOAD IDENTIFIER  ( G, D, C, M, K )"))</f>
        <v>ENTER CIRCUIT #22 LOAD IDENTIFIER  ( G, D, C, M, K )</v>
      </c>
      <c r="CE93" s="129">
        <f>IF(SUM(CE$83:CE92)=0,CF93,0)</f>
        <v>0</v>
      </c>
      <c r="CF93" s="129">
        <f>IF(H$5&lt;22,0,IF(ISBLANK(L38)=TRUE,22,IF(L38=" ",0,IF(L38="H",0,22))))</f>
        <v>0</v>
      </c>
      <c r="CG93" s="128" t="s">
        <v>159</v>
      </c>
      <c r="CH93" s="129">
        <f>IF(SUM(CH$83:CH92)=0,CI93,0)</f>
        <v>0</v>
      </c>
      <c r="CI93" s="132">
        <f>IF($H$5&lt;22,0,IF(ISBLANK($M38)=TRUE,22,IF($M38=" ",0,IF(AND($H$8&lt;&gt;"3D",$M38="N"),0,22))))</f>
        <v>0</v>
      </c>
      <c r="CJ93" s="128" t="str">
        <f>IF($H$8&lt;&gt;"3D","ENTER CIRCUIT #22 NEUTRAL IDENTIFIER  ( N or SPACE )","ENTER CIRCUIT #22 NEUTRAL IDENTIFIER  ( SPACE )")</f>
        <v>ENTER CIRCUIT #22 NEUTRAL IDENTIFIER  ( N or SPACE )</v>
      </c>
      <c r="CK93" s="128"/>
      <c r="CL93" s="128"/>
      <c r="CM93" s="128"/>
      <c r="CN93" s="128"/>
      <c r="CO93" s="128"/>
      <c r="CP93" s="128"/>
      <c r="CQ93" s="37"/>
      <c r="CY93" s="23"/>
      <c r="DB93" s="24"/>
      <c r="DR93" s="22"/>
      <c r="DS93" s="22"/>
      <c r="DT93" s="22"/>
      <c r="DU93" s="22"/>
      <c r="DV93" s="22"/>
      <c r="DW93" s="22"/>
      <c r="DX93" s="31"/>
      <c r="DY93" s="32" t="str">
        <f>IF(DT87&gt;0,DY87,"")</f>
        <v xml:space="preserve"> 4-#4 THHN AL</v>
      </c>
      <c r="DZ93" s="22"/>
      <c r="EA93" s="22"/>
      <c r="EB93" s="22"/>
      <c r="EC93" s="22"/>
      <c r="ED93" s="22"/>
      <c r="EE93" s="22"/>
      <c r="EF93" s="23" t="s">
        <v>135</v>
      </c>
      <c r="EG93" s="22"/>
      <c r="EH93" s="22"/>
      <c r="EI93" s="22"/>
      <c r="EJ93" s="22"/>
      <c r="EK93" s="149" t="s">
        <v>257</v>
      </c>
      <c r="EL93" s="282" t="s">
        <v>538</v>
      </c>
      <c r="EM93" s="282" t="s">
        <v>538</v>
      </c>
      <c r="EN93" s="282" t="s">
        <v>538</v>
      </c>
      <c r="EO93" s="282" t="s">
        <v>538</v>
      </c>
      <c r="EP93" s="22" t="s">
        <v>257</v>
      </c>
      <c r="EQ93" s="22" t="s">
        <v>540</v>
      </c>
      <c r="ER93" s="22" t="s">
        <v>540</v>
      </c>
      <c r="ES93" s="22" t="s">
        <v>540</v>
      </c>
      <c r="ET93" s="22" t="s">
        <v>540</v>
      </c>
    </row>
    <row r="94" spans="39:150" ht="14.1" hidden="1" customHeight="1">
      <c r="BY94" s="130"/>
      <c r="BZ94" s="136"/>
      <c r="CA94" s="128">
        <f t="shared" si="24"/>
        <v>24</v>
      </c>
      <c r="CB94" s="129">
        <f>IF(SUM(CB$83:CB93)=0,CC94,0)</f>
        <v>0</v>
      </c>
      <c r="CC94" s="129">
        <f>IF(H$5&lt;24,0,IF(K39="G",0,IF(K39="C",0,IF(K39="M",0,IF(K39="K",0,IF(AND(OR($H$10="FULL",$H$10="AUTO"),K39="D"),0,24))))))</f>
        <v>0</v>
      </c>
      <c r="CD94" s="128" t="str">
        <f>IF($H$10="NONE","ENTER CIRCUIT #24 LOAD IDENTIFIER  ( G, C, M, K )","ENTER CIRCUIT #24 LOAD IDENTIFIER  ( G, D, C, M, K )")</f>
        <v>ENTER CIRCUIT #24 LOAD IDENTIFIER  ( G, D, C, M, K )</v>
      </c>
      <c r="CE94" s="129">
        <f>IF(SUM(CE$83:CE93)=0,CF94,0)</f>
        <v>0</v>
      </c>
      <c r="CF94" s="129">
        <f>IF(H$5&lt;24,0,IF(ISBLANK(L39)=TRUE,24,IF(L39=" ",0,IF(L39="H",0,24))))</f>
        <v>0</v>
      </c>
      <c r="CG94" s="128" t="s">
        <v>166</v>
      </c>
      <c r="CH94" s="129">
        <f>IF(SUM(CH$83:CH93)=0,CI94,0)</f>
        <v>0</v>
      </c>
      <c r="CI94" s="132">
        <f>IF($H$5&lt;24,0,IF(ISBLANK($M39)=TRUE,24,IF($M39="N",0,IF($M39=" ",0,24))))</f>
        <v>0</v>
      </c>
      <c r="CJ94" s="128" t="s">
        <v>422</v>
      </c>
      <c r="CK94" s="128"/>
      <c r="CL94" s="128"/>
      <c r="CM94" s="128"/>
      <c r="CN94" s="128"/>
      <c r="CO94" s="128"/>
      <c r="CP94" s="128"/>
      <c r="CQ94" s="37"/>
      <c r="CY94" s="23"/>
      <c r="DB94" s="24"/>
      <c r="DR94" s="22"/>
      <c r="DS94" s="22"/>
      <c r="DT94" s="22"/>
      <c r="DU94" s="22"/>
      <c r="DV94" s="22"/>
      <c r="DW94" s="22"/>
      <c r="DX94" s="22"/>
      <c r="DY94" s="32" t="str">
        <f>IF(DT88&gt;0,DY88,IF(DT89&gt;0,DY89,IF(AND(SUM(DT88:DT89)=0,DT90&gt;0),DY90,"")))</f>
        <v xml:space="preserve"> 1-#8 AL GND</v>
      </c>
      <c r="DZ94" s="22"/>
      <c r="EA94" s="22"/>
      <c r="EB94" s="22"/>
      <c r="EC94" s="22"/>
      <c r="ED94" s="22"/>
      <c r="EE94" s="22"/>
      <c r="EF94" s="23" t="s">
        <v>200</v>
      </c>
      <c r="EG94" s="39">
        <v>1000</v>
      </c>
      <c r="EH94" s="39">
        <v>1000</v>
      </c>
      <c r="EI94" s="39">
        <v>1000</v>
      </c>
      <c r="EJ94" s="39">
        <v>1000</v>
      </c>
      <c r="EK94" s="149" t="s">
        <v>259</v>
      </c>
      <c r="EL94" s="192" t="str">
        <f>TEXT(EG91, "0.0000")</f>
        <v>0.5080</v>
      </c>
      <c r="EM94" s="192" t="str">
        <f>TEXT(EH91, "0.0000")</f>
        <v>0.5080</v>
      </c>
      <c r="EN94" s="192" t="str">
        <f>TEXT(EI91, "0.0000")</f>
        <v>0.5080</v>
      </c>
      <c r="EO94" s="192" t="str">
        <f>TEXT(EJ91, "0.0000")</f>
        <v>0.5080</v>
      </c>
      <c r="EP94" s="22">
        <v>100</v>
      </c>
      <c r="EQ94" s="22">
        <v>100</v>
      </c>
      <c r="ER94" s="22">
        <v>100</v>
      </c>
      <c r="ES94" s="22">
        <v>100</v>
      </c>
      <c r="ET94" s="22">
        <v>100</v>
      </c>
    </row>
    <row r="95" spans="39:150" ht="14.1" hidden="1" customHeight="1">
      <c r="BY95" s="130"/>
      <c r="BZ95" s="136"/>
      <c r="CA95" s="128">
        <f t="shared" si="24"/>
        <v>26</v>
      </c>
      <c r="CB95" s="129">
        <f>IF(SUM(CB$83:CB94)=0,CC95,0)</f>
        <v>0</v>
      </c>
      <c r="CC95" s="129">
        <f>IF(H$5&lt;26,0,IF(K40="G",0,IF(K40="C",0,IF(K40="M",0,IF(K40="K",0,IF(AND(OR($H$10="FULL",$H$10="AUTO"),K40="D"),0,26))))))</f>
        <v>0</v>
      </c>
      <c r="CD95" s="128" t="str">
        <f>IF($H$10="NONE","ENTER CIRCUIT #26 LOAD IDENTIFIER  ( G, C, M, K )","ENTER CIRCUIT #26 LOAD IDENTIFIER  ( G, D, C, M, K )")</f>
        <v>ENTER CIRCUIT #26 LOAD IDENTIFIER  ( G, D, C, M, K )</v>
      </c>
      <c r="CE95" s="129">
        <f>IF(SUM(CE$83:CE94)=0,CF95,0)</f>
        <v>0</v>
      </c>
      <c r="CF95" s="129">
        <f>IF(H$5&lt;26,0,IF(ISBLANK(L40)=TRUE,26,IF(L40=" ",0,IF(L40="H",0,26))))</f>
        <v>0</v>
      </c>
      <c r="CG95" s="128" t="s">
        <v>167</v>
      </c>
      <c r="CH95" s="129">
        <f>IF(SUM(CH$83:CH94)=0,CI95,0)</f>
        <v>0</v>
      </c>
      <c r="CI95" s="132">
        <f>IF($H$5&lt;26,0,IF(ISBLANK($M40)=TRUE,26,IF($M40="N",0,IF($M40=" ",0,26))))</f>
        <v>0</v>
      </c>
      <c r="CJ95" s="128" t="s">
        <v>423</v>
      </c>
      <c r="CK95" s="128"/>
      <c r="CL95" s="128"/>
      <c r="CM95" s="128"/>
      <c r="CN95" s="128"/>
      <c r="CO95" s="128"/>
      <c r="CP95" s="128"/>
      <c r="CQ95" s="37"/>
      <c r="DB95" s="24"/>
      <c r="DR95" s="22"/>
      <c r="DS95" s="22"/>
      <c r="DT95" s="22"/>
      <c r="DU95" s="22"/>
      <c r="DV95" s="22"/>
      <c r="DW95" s="22"/>
      <c r="DX95" s="22"/>
      <c r="DY95" s="24" t="str">
        <f>IF(AND(DT88&gt;0,DT89&gt;0),DY89,IF(AND(SUM(DT88:DT89)=1,DT90&gt;0),DY90,""))</f>
        <v/>
      </c>
      <c r="DZ95" s="22"/>
      <c r="EA95" s="22"/>
      <c r="EB95" s="22"/>
      <c r="EC95" s="22"/>
      <c r="ED95" s="22"/>
      <c r="EE95" s="22"/>
      <c r="EF95" s="23" t="s">
        <v>135</v>
      </c>
      <c r="EG95" s="22"/>
      <c r="EH95" s="22"/>
      <c r="EI95" s="22"/>
      <c r="EJ95" s="22"/>
      <c r="EK95" s="149" t="s">
        <v>257</v>
      </c>
      <c r="EL95" s="149" t="s">
        <v>539</v>
      </c>
      <c r="EM95" s="149" t="s">
        <v>539</v>
      </c>
      <c r="EN95" s="149" t="s">
        <v>539</v>
      </c>
      <c r="EO95" s="149" t="s">
        <v>539</v>
      </c>
      <c r="EP95" s="22" t="s">
        <v>263</v>
      </c>
      <c r="EQ95" s="22" t="str">
        <f>EP95</f>
        <v xml:space="preserve"> ) = </v>
      </c>
      <c r="ER95" s="22" t="str">
        <f>EQ95</f>
        <v xml:space="preserve"> ) = </v>
      </c>
      <c r="ES95" s="22" t="str">
        <f>ER95</f>
        <v xml:space="preserve"> ) = </v>
      </c>
      <c r="ET95" s="22" t="str">
        <f>ES95</f>
        <v xml:space="preserve"> ) = </v>
      </c>
    </row>
    <row r="96" spans="39:150" ht="14.1" hidden="1" customHeight="1">
      <c r="BY96" s="130"/>
      <c r="BZ96" s="136"/>
      <c r="CA96" s="128">
        <f t="shared" si="24"/>
        <v>28</v>
      </c>
      <c r="CB96" s="129">
        <f>IF(SUM(CB$83:CB95)=0,CC96,0)</f>
        <v>0</v>
      </c>
      <c r="CC96" s="129">
        <f>IF(H$5&lt;28,0,IF(K41="G",0,IF(K41="C",0,IF(K41="M",0,IF(K41="K",0,IF(AND(OR($H$10="FULL",$H$10="AUTO"),OR($H$8=1,$H$8="3Y"),K41="D"),0,28))))))</f>
        <v>0</v>
      </c>
      <c r="CD96" s="128" t="str">
        <f>IF($H$10="NONE","ENTER CIRCUIT #28 LOAD IDENTIFIER  ( G, C, M, K )",IF($H$8="3D","ENTER CIRCUIT #28 LOAD IDENTIFIER  ( G, C, M, K )","ENTER CIRCUIT #28 LOAD IDENTIFIER  ( G, D, C, M, K )"))</f>
        <v>ENTER CIRCUIT #28 LOAD IDENTIFIER  ( G, D, C, M, K )</v>
      </c>
      <c r="CE96" s="129">
        <f>IF(SUM(CE$83:CE95)=0,CF96,0)</f>
        <v>0</v>
      </c>
      <c r="CF96" s="129">
        <f>IF(H$5&lt;28,0,IF(ISBLANK(L41)=TRUE,28,IF(L41=" ",0,IF(L41="H",0,28))))</f>
        <v>0</v>
      </c>
      <c r="CG96" s="128" t="s">
        <v>168</v>
      </c>
      <c r="CH96" s="129">
        <f>IF(SUM(CH$83:CH95)=0,CI96,0)</f>
        <v>0</v>
      </c>
      <c r="CI96" s="132">
        <f>IF($H$5&lt;28,0,IF(ISBLANK($M41)=TRUE,28,IF($M41=" ",0,IF(AND($H$8&lt;&gt;"3D",$M41="N"),0,28))))</f>
        <v>0</v>
      </c>
      <c r="CJ96" s="128" t="str">
        <f>IF($H$8&lt;&gt;"3D","ENTER CIRCUIT #28 NEUTRAL IDENTIFIER  ( N or SPACE )","ENTER CIRCUIT #28 NEUTRAL IDENTIFIER  ( SPACE )")</f>
        <v>ENTER CIRCUIT #28 NEUTRAL IDENTIFIER  ( N or SPACE )</v>
      </c>
      <c r="CK96" s="128"/>
      <c r="CL96" s="128"/>
      <c r="CM96" s="128"/>
      <c r="CN96" s="128"/>
      <c r="CO96" s="128"/>
      <c r="CP96" s="128"/>
      <c r="CQ96" s="37"/>
      <c r="DB96" s="24"/>
      <c r="DR96" s="22"/>
      <c r="DS96" s="22"/>
      <c r="DT96" s="22"/>
      <c r="DU96" s="22"/>
      <c r="DV96" s="22"/>
      <c r="DW96" s="22"/>
      <c r="DX96" s="22"/>
      <c r="DY96" s="24" t="str">
        <f>IF(AND(SUM(DT88:DT89)=2,DT90&gt;0),DY90,"")</f>
        <v/>
      </c>
      <c r="DZ96" s="22"/>
      <c r="EA96" s="22"/>
      <c r="EB96" s="22"/>
      <c r="EC96" s="22"/>
      <c r="ED96" s="22"/>
      <c r="EE96" s="22"/>
      <c r="EF96" s="23" t="s">
        <v>201</v>
      </c>
      <c r="EG96" s="39">
        <v>1</v>
      </c>
      <c r="EH96" s="39">
        <v>0.86599999999999999</v>
      </c>
      <c r="EI96" s="39">
        <v>0.86599999999999999</v>
      </c>
      <c r="EJ96" s="39">
        <v>1</v>
      </c>
      <c r="EK96" s="149" t="s">
        <v>260</v>
      </c>
      <c r="EL96" s="153" t="str">
        <f>TEXT(EG92, "#,##0.0")</f>
        <v>57.9</v>
      </c>
      <c r="EM96" s="153" t="str">
        <f>TEXT(EH92, "#,##0.0")</f>
        <v>57.9</v>
      </c>
      <c r="EN96" s="153" t="str">
        <f>TEXT(EI92, "#,##0.0")</f>
        <v>57.9</v>
      </c>
      <c r="EO96" s="153" t="str">
        <f>TEXT(EJ92, "#,##0.0")</f>
        <v>57.9</v>
      </c>
      <c r="EP96" s="22" t="s">
        <v>136</v>
      </c>
      <c r="EQ96" s="304" t="str">
        <f>TEXT(EG99*100, "0.0")</f>
        <v>0.3</v>
      </c>
      <c r="ER96" s="304" t="str">
        <f>TEXT(EH99*100, "0.0")</f>
        <v>0.2</v>
      </c>
      <c r="ES96" s="304" t="str">
        <f>TEXT(EI99*100, "0.0")</f>
        <v>0.2</v>
      </c>
      <c r="ET96" s="304" t="str">
        <f>TEXT(EJ99*100, "0.0")</f>
        <v>0.3</v>
      </c>
    </row>
    <row r="97" spans="77:150" ht="14.1" hidden="1" customHeight="1">
      <c r="BY97" s="141"/>
      <c r="BZ97" s="136"/>
      <c r="CA97" s="128">
        <f t="shared" si="24"/>
        <v>30</v>
      </c>
      <c r="CB97" s="129">
        <f>IF(SUM(CB$83:CB96)=0,CC97,0)</f>
        <v>0</v>
      </c>
      <c r="CC97" s="129">
        <f>IF(H$5&lt;30,0,IF(K42="G",0,IF(K42="C",0,IF(K42="M",0,IF(K42="K",0,IF(AND(OR($H$10="FULL",$H$10="AUTO"),K42="D"),0,30))))))</f>
        <v>0</v>
      </c>
      <c r="CD97" s="128" t="str">
        <f>IF($H$10="NONE","ENTER CIRCUIT #30 LOAD IDENTIFIER  ( G, C, M, K )","ENTER CIRCUIT #30 LOAD IDENTIFIER  ( G, D, C, M, K )")</f>
        <v>ENTER CIRCUIT #30 LOAD IDENTIFIER  ( G, D, C, M, K )</v>
      </c>
      <c r="CE97" s="129">
        <f>IF(SUM(CE$83:CE96)=0,CF97,0)</f>
        <v>0</v>
      </c>
      <c r="CF97" s="129">
        <f>IF(H$5&lt;30,0,IF(ISBLANK(L42)=TRUE,30,IF(L42=" ",0,IF(L42="H",0,30))))</f>
        <v>0</v>
      </c>
      <c r="CG97" s="128" t="s">
        <v>171</v>
      </c>
      <c r="CH97" s="129">
        <f>IF(SUM(CH$83:CH96)=0,CI97,0)</f>
        <v>0</v>
      </c>
      <c r="CI97" s="132">
        <f>IF($H$5&lt;30,0,IF(ISBLANK($M42)=TRUE,30,IF($M42="N",0,IF($M42=" ",0,30))))</f>
        <v>0</v>
      </c>
      <c r="CJ97" s="128" t="s">
        <v>424</v>
      </c>
      <c r="CK97" s="128"/>
      <c r="CL97" s="128"/>
      <c r="CM97" s="128"/>
      <c r="CN97" s="128"/>
      <c r="CO97" s="128"/>
      <c r="CP97" s="128"/>
      <c r="CQ97" s="37"/>
      <c r="DB97" s="24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87" t="s">
        <v>202</v>
      </c>
      <c r="EG97" s="294">
        <f>ROUND((EG89*EG90*EG91*EG92)/EG94,1)</f>
        <v>0.6</v>
      </c>
      <c r="EH97" s="294">
        <f>ROUND((EH89*EH90*EH91*EH92)/EH94*EH96,1)</f>
        <v>0.5</v>
      </c>
      <c r="EI97" s="294">
        <f>ROUND((EI89*EI90*EI91*EI92)/EI94*EI96,1)</f>
        <v>0.5</v>
      </c>
      <c r="EJ97" s="294">
        <f>ROUND((EJ89*EJ90*EJ91*EJ92)/EJ94,1)</f>
        <v>0.6</v>
      </c>
      <c r="EK97" s="149" t="s">
        <v>134</v>
      </c>
      <c r="EL97" s="149" t="s">
        <v>549</v>
      </c>
      <c r="EM97" s="149" t="s">
        <v>549</v>
      </c>
      <c r="EN97" s="149" t="s">
        <v>549</v>
      </c>
      <c r="EO97" s="149" t="s">
        <v>549</v>
      </c>
      <c r="EP97" s="22" t="s">
        <v>212</v>
      </c>
      <c r="EQ97" s="22" t="s">
        <v>537</v>
      </c>
      <c r="ER97" s="22" t="s">
        <v>537</v>
      </c>
      <c r="ES97" s="22" t="s">
        <v>537</v>
      </c>
      <c r="ET97" s="22" t="s">
        <v>537</v>
      </c>
    </row>
    <row r="98" spans="77:150" ht="14.1" hidden="1" customHeight="1">
      <c r="BY98" s="136"/>
      <c r="BZ98" s="136"/>
      <c r="CA98" s="128">
        <f t="shared" si="24"/>
        <v>32</v>
      </c>
      <c r="CB98" s="129">
        <f>IF(SUM(CB$83:CB97)=0,CC98,0)</f>
        <v>0</v>
      </c>
      <c r="CC98" s="129">
        <f>IF(H$5&lt;32,0,IF(K43="G",0,IF(K43="C",0,IF(K43="M",0,IF(K43="K",0,IF(AND(OR($H$10="FULL",$H$10="AUTO"),K43="D"),0,32))))))</f>
        <v>0</v>
      </c>
      <c r="CD98" s="128" t="str">
        <f>IF($H$10="NONE","ENTER CIRCUIT #32 LOAD IDENTIFIER  ( G, C, M, K )","ENTER CIRCUIT #32 LOAD IDENTIFIER  ( G, D, C, M, K )")</f>
        <v>ENTER CIRCUIT #32 LOAD IDENTIFIER  ( G, D, C, M, K )</v>
      </c>
      <c r="CE98" s="129">
        <f>IF(SUM(CE$83:CE97)=0,CF98,0)</f>
        <v>0</v>
      </c>
      <c r="CF98" s="129">
        <f>IF(H$5&lt;32,0,IF(ISBLANK(L43)=TRUE,32,IF(L43=" ",0,IF(L43="H",0,32))))</f>
        <v>0</v>
      </c>
      <c r="CG98" s="128" t="s">
        <v>174</v>
      </c>
      <c r="CH98" s="129">
        <f>IF(SUM(CH$83:CH97)=0,CI98,0)</f>
        <v>0</v>
      </c>
      <c r="CI98" s="132">
        <f>IF($H$5&lt;32,0,IF(ISBLANK($M43)=TRUE,32,IF($M43="N",0,IF($M43=" ",0,32))))</f>
        <v>0</v>
      </c>
      <c r="CJ98" s="128" t="s">
        <v>425</v>
      </c>
      <c r="CK98" s="128"/>
      <c r="CL98" s="128"/>
      <c r="CM98" s="128"/>
      <c r="CN98" s="128"/>
      <c r="CO98" s="128"/>
      <c r="CP98" s="128"/>
      <c r="CQ98" s="37"/>
      <c r="DB98" s="24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88" t="s">
        <v>203</v>
      </c>
      <c r="EG98" s="301">
        <f>EG58</f>
        <v>240</v>
      </c>
      <c r="EH98" s="75">
        <f>EG98</f>
        <v>240</v>
      </c>
      <c r="EI98" s="75">
        <f>EH98</f>
        <v>240</v>
      </c>
      <c r="EJ98" s="75">
        <f>EI98</f>
        <v>240</v>
      </c>
      <c r="EK98" s="149" t="str">
        <f>TEXT(1000, "#,##0")</f>
        <v>1,000</v>
      </c>
      <c r="EL98" s="149" t="str">
        <f>TEXT(1000, "#,##0")</f>
        <v>1,000</v>
      </c>
      <c r="EM98" s="149" t="str">
        <f>TEXT(1000, "#,##0")</f>
        <v>1,000</v>
      </c>
      <c r="EN98" s="149" t="str">
        <f>TEXT(1000, "#,##0")</f>
        <v>1,000</v>
      </c>
      <c r="EO98" s="149" t="str">
        <f>TEXT(1000, "#,##0")</f>
        <v>1,000</v>
      </c>
      <c r="EP98" s="24" t="str">
        <f>CONCATENATE(EP89,EP90,EP91,EP92,EP93,EP94,EP95,EP96,EP97)</f>
        <v xml:space="preserve">( VD ÷ VOLTS X 100 ) = VD % </v>
      </c>
      <c r="EQ98" s="24" t="str">
        <f>CONCATENATE(EQ89,EQ90,EQ91,EQ92,EQ93,EQ94,EQ95,EQ96,EQ97)</f>
        <v>( 0.6 VD ÷ 240 V X 100 ) = 0.3 % VD</v>
      </c>
      <c r="ER98" s="24" t="str">
        <f>CONCATENATE(ER89,ER90,ER91,ER92,ER93,ER94,ER95,ER96,ER97)</f>
        <v>( 0.5 VD ÷ 240 V X 100 ) = 0.2 % VD</v>
      </c>
      <c r="ES98" s="24" t="str">
        <f>CONCATENATE(ES89,ES90,ES91,ES92,ES93,ES94,ES95,ES96,ES97)</f>
        <v>( 0.5 VD ÷ 240 V X 100 ) = 0.2 % VD</v>
      </c>
      <c r="ET98" s="24" t="str">
        <f>CONCATENATE(ET89,ET90,ET91,ET92,ET93,ET94,ET95,ET96,ET97)</f>
        <v>( 0.6 VD ÷ 240 V X 100 ) = 0.3 % VD</v>
      </c>
    </row>
    <row r="99" spans="77:150" ht="14.1" hidden="1" customHeight="1">
      <c r="BY99" s="136"/>
      <c r="BZ99" s="136"/>
      <c r="CA99" s="128">
        <f t="shared" si="24"/>
        <v>34</v>
      </c>
      <c r="CB99" s="129">
        <f>IF(SUM(CB$83:CB98)=0,CC99,0)</f>
        <v>0</v>
      </c>
      <c r="CC99" s="129">
        <f>IF(H$5&lt;34,0,IF(K44="G",0,IF(K44="C",0,IF(K44="M",0,IF(K44="K",0,IF(AND(OR($H$10="FULL",$H$10="AUTO"),OR($H$8=1,$H$8="3Y"),K44="D"),0,34))))))</f>
        <v>0</v>
      </c>
      <c r="CD99" s="128" t="str">
        <f>IF($H$10="NONE","ENTER CIRCUIT #34 LOAD IDENTIFIER  ( G, C, M, K )",IF($H$8="3D","ENTER CIRCUIT #34 LOAD IDENTIFIER  ( G, C, M, K )","ENTER CIRCUIT #34 LOAD IDENTIFIER  ( G, D, C, M, K )"))</f>
        <v>ENTER CIRCUIT #34 LOAD IDENTIFIER  ( G, D, C, M, K )</v>
      </c>
      <c r="CE99" s="129">
        <f>IF(SUM(CE$83:CE98)=0,CF99,0)</f>
        <v>0</v>
      </c>
      <c r="CF99" s="129">
        <f>IF(H$5&lt;34,0,IF(ISBLANK(L44)=TRUE,34,IF(L44=" ",0,IF(L44="H",0,34))))</f>
        <v>0</v>
      </c>
      <c r="CG99" s="128" t="s">
        <v>177</v>
      </c>
      <c r="CH99" s="129">
        <f>IF(SUM(CH$83:CH98)=0,CI99,0)</f>
        <v>0</v>
      </c>
      <c r="CI99" s="132">
        <f>IF($H$5&lt;34,0,IF(ISBLANK($M44)=TRUE,34,IF($M44=" ",0,IF(AND($H$8&lt;&gt;"3D",$M44="N"),0,34))))</f>
        <v>0</v>
      </c>
      <c r="CJ99" s="128" t="str">
        <f>IF($H$8&lt;&gt;"3D","ENTER CIRCUIT #34 NEUTRAL IDENTIFIER  ( N or SPACE )","ENTER CIRCUIT #34 NEUTRAL IDENTIFIER  ( SPACE )")</f>
        <v>ENTER CIRCUIT #34 NEUTRAL IDENTIFIER  ( N or SPACE )</v>
      </c>
      <c r="CK99" s="128"/>
      <c r="CL99" s="128"/>
      <c r="CM99" s="128"/>
      <c r="CN99" s="128"/>
      <c r="CO99" s="128"/>
      <c r="CP99" s="128"/>
      <c r="CQ99" s="37"/>
      <c r="CV99" s="1" t="str">
        <f>CONCATENATE(CV91,CW92,CW91,CW93,,CW91,CY91,CW94,CW91,CX91)</f>
        <v/>
      </c>
      <c r="DB99" s="24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89" t="s">
        <v>204</v>
      </c>
      <c r="EG99" s="90">
        <f>ROUND(EG97/EG98,4)</f>
        <v>2.5000000000000001E-3</v>
      </c>
      <c r="EH99" s="90">
        <f>ROUND(EH97/EH98,4)</f>
        <v>2.0999999999999999E-3</v>
      </c>
      <c r="EI99" s="90">
        <f>ROUND(EI97/EI98,4)</f>
        <v>2.0999999999999999E-3</v>
      </c>
      <c r="EJ99" s="90">
        <f>ROUND(EJ97/EJ98,4)</f>
        <v>2.5000000000000001E-3</v>
      </c>
      <c r="EK99" s="149" t="str">
        <f>IF(H8=1," )"," X ")</f>
        <v xml:space="preserve"> X </v>
      </c>
      <c r="EL99" s="149" t="s">
        <v>261</v>
      </c>
      <c r="EM99" s="149" t="s">
        <v>257</v>
      </c>
      <c r="EN99" s="149" t="s">
        <v>257</v>
      </c>
      <c r="EO99" s="149" t="s">
        <v>261</v>
      </c>
      <c r="EP99" s="22"/>
      <c r="EQ99" s="24" t="str">
        <f>CONCATENATE(EQ96,EQ97)</f>
        <v>0.3 % VD</v>
      </c>
      <c r="ER99" s="24" t="str">
        <f>CONCATENATE(ER96,ER97)</f>
        <v>0.2 % VD</v>
      </c>
      <c r="ES99" s="24" t="str">
        <f>CONCATENATE(ES96,ES97)</f>
        <v>0.2 % VD</v>
      </c>
      <c r="ET99" s="24" t="str">
        <f>CONCATENATE(ET96,ET97)</f>
        <v>0.3 % VD</v>
      </c>
    </row>
    <row r="100" spans="77:150" ht="14.1" hidden="1" customHeight="1">
      <c r="BY100" s="136"/>
      <c r="BZ100" s="129"/>
      <c r="CA100" s="128">
        <f t="shared" si="24"/>
        <v>36</v>
      </c>
      <c r="CB100" s="129">
        <f>IF(SUM(CB$83:CB99)=0,CC100,0)</f>
        <v>0</v>
      </c>
      <c r="CC100" s="129">
        <f>IF(H$5&lt;36,0,IF(K45="G",0,IF(K45="C",0,IF(K45="M",0,IF(K45="K",0,IF(AND(OR($H$10="FULL",$H$10="AUTO"),K45="D"),0,36))))))</f>
        <v>0</v>
      </c>
      <c r="CD100" s="128" t="str">
        <f>IF($H$10="NONE","ENTER CIRCUIT #36 LOAD IDENTIFIER  ( G, C, M, K )","ENTER CIRCUIT #36 LOAD IDENTIFIER  ( G, D, C, M, K )")</f>
        <v>ENTER CIRCUIT #36 LOAD IDENTIFIER  ( G, D, C, M, K )</v>
      </c>
      <c r="CE100" s="129">
        <f>IF(SUM(CE$83:CE99)=0,CF100,0)</f>
        <v>0</v>
      </c>
      <c r="CF100" s="129">
        <f>IF(H$5&lt;36,0,IF(ISBLANK(L45)=TRUE,36,IF(L45=" ",0,IF(L45="H",0,36))))</f>
        <v>0</v>
      </c>
      <c r="CG100" s="128" t="s">
        <v>180</v>
      </c>
      <c r="CH100" s="129">
        <f>IF(SUM(CH$83:CH99)=0,CI100,0)</f>
        <v>0</v>
      </c>
      <c r="CI100" s="132">
        <f>IF($H$5&lt;36,0,IF(ISBLANK($M45)=TRUE,36,IF($M45="N",0,IF($M45=" ",0,36))))</f>
        <v>0</v>
      </c>
      <c r="CJ100" s="128" t="s">
        <v>426</v>
      </c>
      <c r="CK100" s="128"/>
      <c r="CL100" s="128"/>
      <c r="CM100" s="128"/>
      <c r="CN100" s="128"/>
      <c r="CO100" s="128"/>
      <c r="CP100" s="128"/>
      <c r="CQ100" s="37"/>
      <c r="CV100" s="1" t="str">
        <f>CONCATENATE(CV91,CW92,CW91,CW93,,CW91,CZ91,CW94,CW91,CX91,CY91,CW95,DB91)</f>
        <v/>
      </c>
      <c r="DB100" s="24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K100" s="149">
        <v>0.86599999999999999</v>
      </c>
      <c r="EL100" s="149" t="s">
        <v>135</v>
      </c>
      <c r="EM100" s="281">
        <v>0.86599999999999999</v>
      </c>
      <c r="EN100" s="281">
        <v>0.86599999999999999</v>
      </c>
      <c r="EO100" s="149" t="s">
        <v>135</v>
      </c>
    </row>
    <row r="101" spans="77:150" ht="14.1" hidden="1" customHeight="1">
      <c r="BY101" s="136"/>
      <c r="BZ101" s="129"/>
      <c r="CA101" s="128">
        <f t="shared" si="24"/>
        <v>38</v>
      </c>
      <c r="CB101" s="129">
        <f>IF(SUM(CB$83:CB100)=0,CC101,0)</f>
        <v>0</v>
      </c>
      <c r="CC101" s="129">
        <f>IF(H$5&lt;38,0,IF(K46="G",0,IF(K46="C",0,IF(K46="M",0,IF(K46="K",0,IF(AND(OR($H$10="FULL",$H$10="AUTO"),K46="D"),0,38))))))</f>
        <v>0</v>
      </c>
      <c r="CD101" s="128" t="str">
        <f>IF($H$10="NONE","ENTER CIRCUIT #38 LOAD IDENTIFIER  ( G, C, M, K )","ENTER CIRCUIT #38 LOAD IDENTIFIER  ( G, D, C, M, K )")</f>
        <v>ENTER CIRCUIT #38 LOAD IDENTIFIER  ( G, D, C, M, K )</v>
      </c>
      <c r="CE101" s="129">
        <f>IF(SUM(CE$83:CE100)=0,CF101,0)</f>
        <v>0</v>
      </c>
      <c r="CF101" s="129">
        <f>IF(H$5&lt;38,0,IF(ISBLANK(L46)=TRUE,38,IF(L46=" ",0,IF(L46="H",0,38))))</f>
        <v>0</v>
      </c>
      <c r="CG101" s="128" t="s">
        <v>183</v>
      </c>
      <c r="CH101" s="129">
        <f>IF(SUM(CH$83:CH100)=0,CI101,0)</f>
        <v>0</v>
      </c>
      <c r="CI101" s="132">
        <f>IF($H$5&lt;38,0,IF(ISBLANK($M46)=TRUE,38,IF($M46="N",0,IF($M46=" ",0,38))))</f>
        <v>0</v>
      </c>
      <c r="CJ101" s="128" t="s">
        <v>427</v>
      </c>
      <c r="CK101" s="128"/>
      <c r="CL101" s="128"/>
      <c r="CM101" s="128"/>
      <c r="CN101" s="128"/>
      <c r="CO101" s="128"/>
      <c r="CP101" s="128"/>
      <c r="CQ101" s="37"/>
      <c r="DB101" s="24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K101" s="149" t="s">
        <v>261</v>
      </c>
      <c r="EL101" s="154" t="str">
        <f>TEXT(EG97, "#,##0.0")</f>
        <v>0.6</v>
      </c>
      <c r="EM101" s="149" t="s">
        <v>261</v>
      </c>
      <c r="EN101" s="149" t="s">
        <v>261</v>
      </c>
      <c r="EO101" s="300" t="str">
        <f>TEXT(EJ97, "#,##0.0")</f>
        <v>0.6</v>
      </c>
    </row>
    <row r="102" spans="77:150" ht="14.1" hidden="1" customHeight="1">
      <c r="BZ102" s="136"/>
      <c r="CA102" s="128">
        <f t="shared" si="24"/>
        <v>40</v>
      </c>
      <c r="CB102" s="129">
        <f>IF(SUM(CB$83:CB101)=0,CC102,0)</f>
        <v>0</v>
      </c>
      <c r="CC102" s="129">
        <f>IF(H$5&lt;40,0,IF(K47="G",0,IF(K47="C",0,IF(K47="M",0,IF(K47="K",0,IF(AND(OR($H$10="FULL",$H$10="AUTO"),OR($H$8=1,$H$8="3Y"),K47="D"),0,40))))))</f>
        <v>0</v>
      </c>
      <c r="CD102" s="128" t="str">
        <f>IF($H$10="NONE","ENTER CIRCUIT #40 LOAD IDENTIFIER  ( G, C, M, K )",IF($H$8="3D","ENTER CIRCUIT #40 LOAD IDENTIFIER  ( G, C, M, K )","ENTER CIRCUIT #40 LOAD IDENTIFIER  ( G, D, C, M, K )"))</f>
        <v>ENTER CIRCUIT #40 LOAD IDENTIFIER  ( G, D, C, M, K )</v>
      </c>
      <c r="CE102" s="129">
        <f>IF(SUM(CE$83:CE101)=0,CF102,0)</f>
        <v>0</v>
      </c>
      <c r="CF102" s="129">
        <f>IF(H$5&lt;40,0,IF(ISBLANK(L47)=TRUE,40,IF(L47=" ",0,IF(L47="H",0,40))))</f>
        <v>0</v>
      </c>
      <c r="CG102" s="128" t="s">
        <v>185</v>
      </c>
      <c r="CH102" s="129">
        <f>IF(SUM(CH$83:CH101)=0,CI102,0)</f>
        <v>0</v>
      </c>
      <c r="CI102" s="132">
        <f>IF($H$5&lt;40,0,IF(ISBLANK($M47)=TRUE,40,IF($M47=" ",0,IF(AND($H$8&lt;&gt;"3D",$M47="N"),0,40))))</f>
        <v>0</v>
      </c>
      <c r="CJ102" s="128" t="str">
        <f>IF($H$8&lt;&gt;"3D","ENTER CIRCUIT #40 NEUTRAL IDENTIFIER  ( N or SPACE )","ENTER CIRCUIT #40 NEUTRAL IDENTIFIER  ( SPACE )")</f>
        <v>ENTER CIRCUIT #40 NEUTRAL IDENTIFIER  ( N or SPACE )</v>
      </c>
      <c r="CK102" s="128"/>
      <c r="CL102" s="128"/>
      <c r="CM102" s="128"/>
      <c r="CN102" s="128"/>
      <c r="CO102" s="128"/>
      <c r="CP102" s="128"/>
      <c r="CQ102" s="37"/>
      <c r="CU102" s="24" t="s">
        <v>500</v>
      </c>
      <c r="CV102" s="1" t="str">
        <f>CONCATENATE(CW92,CW91,)</f>
        <v/>
      </c>
      <c r="CX102" s="22"/>
      <c r="CY102" s="22"/>
      <c r="CZ102" s="22"/>
      <c r="DA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G102" s="295"/>
      <c r="EH102" s="295"/>
      <c r="EI102" s="295"/>
      <c r="EJ102" s="295"/>
      <c r="EK102" s="149" t="s">
        <v>135</v>
      </c>
      <c r="EL102" s="154" t="s">
        <v>262</v>
      </c>
      <c r="EM102" s="149" t="s">
        <v>135</v>
      </c>
      <c r="EN102" s="149" t="s">
        <v>135</v>
      </c>
      <c r="EO102" s="149" t="s">
        <v>262</v>
      </c>
    </row>
    <row r="103" spans="77:150" ht="14.1" hidden="1" customHeight="1">
      <c r="BZ103" s="136"/>
      <c r="CA103" s="128">
        <f t="shared" si="24"/>
        <v>42</v>
      </c>
      <c r="CB103" s="129">
        <f>IF(SUM(CB$83:CB102)=0,CC103,0)</f>
        <v>0</v>
      </c>
      <c r="CC103" s="129">
        <f>IF(H$5&lt;42,0,IF(K48="G",0,IF(K48="C",0,IF(K48="M",0,IF(K48="K",0,IF(AND(OR($H$10="FULL",$H$10="AUTO"),K48="D"),0,42))))))</f>
        <v>0</v>
      </c>
      <c r="CD103" s="128" t="str">
        <f>IF($H$10="NONE","ENTER CIRCUIT #42 LOAD IDENTIFIER  ( G, C, M, K )","ENTER CIRCUIT #42 LOAD IDENTIFIER  ( G, D, C, M, K )")</f>
        <v>ENTER CIRCUIT #42 LOAD IDENTIFIER  ( G, D, C, M, K )</v>
      </c>
      <c r="CE103" s="129">
        <f>IF(SUM(CE$83:CE102)=0,CF103,0)</f>
        <v>0</v>
      </c>
      <c r="CF103" s="129">
        <f>IF(H$5&lt;42,0,IF(ISBLANK(L48)=TRUE,42,IF(L48=" ",0,IF(L48="H",0,42))))</f>
        <v>0</v>
      </c>
      <c r="CG103" s="128" t="s">
        <v>187</v>
      </c>
      <c r="CH103" s="129">
        <f>IF(SUM(CH$83:CH102)=0,CI103,0)</f>
        <v>0</v>
      </c>
      <c r="CI103" s="132">
        <f>IF($H$5&lt;42,0,IF(ISBLANK($M48)=TRUE,42,IF($M48="N",0,IF($M48=" ",0,42))))</f>
        <v>0</v>
      </c>
      <c r="CJ103" s="128" t="s">
        <v>428</v>
      </c>
      <c r="CK103" s="128"/>
      <c r="CL103" s="128"/>
      <c r="CM103" s="128"/>
      <c r="CN103" s="128"/>
      <c r="CO103" s="128"/>
      <c r="CP103" s="128"/>
      <c r="CQ103" s="37"/>
      <c r="CU103" s="24" t="str">
        <f>IF(AND(CV83=1,CX84=2),"WIRE SIZE L1 &amp; L2",IF(AND(CV83="3D",CX84=2),"WIRE SIZE L1 &amp; L3",IF(CX84&gt;2,"WIRE SIZE L1-L3"," ")))</f>
        <v xml:space="preserve"> </v>
      </c>
      <c r="CV103" s="1" t="str">
        <f>CONCATENATE(CW93,,CW91)</f>
        <v/>
      </c>
      <c r="CW103" s="24"/>
      <c r="CX103" s="24"/>
      <c r="CY103" s="24"/>
      <c r="CZ103" s="24"/>
      <c r="DA103" s="24"/>
      <c r="DB103" s="24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96"/>
      <c r="EG103" s="295"/>
      <c r="EK103" s="154" t="s">
        <v>262</v>
      </c>
      <c r="EL103" s="154"/>
      <c r="EM103" s="154" t="str">
        <f>TEXT(EH97, "#,##0.0")</f>
        <v>0.5</v>
      </c>
      <c r="EN103" s="154" t="str">
        <f>TEXT(EI97, "#,##0.0")</f>
        <v>0.5</v>
      </c>
      <c r="EO103" s="154"/>
    </row>
    <row r="104" spans="77:150" ht="14.1" hidden="1" customHeight="1">
      <c r="BZ104" s="136"/>
      <c r="CA104" s="128">
        <f t="shared" ref="CA104:CA124" si="25">CA103+2</f>
        <v>44</v>
      </c>
      <c r="CB104" s="129">
        <f>IF(SUM(CB$83:CB103)=0,CC104,0)</f>
        <v>0</v>
      </c>
      <c r="CC104" s="129">
        <f>IF(H$5&lt;44,0,IF(K49="G",0,IF(K49="C",0,IF(K49="M",0,IF(K49="K",0,IF(AND(OR($H$10="FULL",$H$10="AUTO"),K49="D"),0,44))))))</f>
        <v>0</v>
      </c>
      <c r="CD104" s="128" t="str">
        <f>IF($H$10="NONE","ENTER CIRCUIT #44 LOAD IDENTIFIER  ( G, C, M, K )","ENTER CIRCUIT #44 LOAD IDENTIFIER  ( G, D, C, M, K )")</f>
        <v>ENTER CIRCUIT #44 LOAD IDENTIFIER  ( G, D, C, M, K )</v>
      </c>
      <c r="CE104" s="129">
        <f>IF(SUM(CE$83:CE103)=0,CF104,0)</f>
        <v>0</v>
      </c>
      <c r="CF104" s="129">
        <f>IF(H$5&lt;44,0,IF(ISBLANK(L49)=TRUE,44,IF(L49=" ",0,IF(L49="H",0,44))))</f>
        <v>0</v>
      </c>
      <c r="CG104" s="128" t="s">
        <v>339</v>
      </c>
      <c r="CH104" s="129">
        <f>IF(SUM(CH$83:CH103)=0,CI104,0)</f>
        <v>0</v>
      </c>
      <c r="CI104" s="132">
        <f>IF($H$5&lt;44,0,IF(ISBLANK($M49)=TRUE,44,IF($M49="N",0,IF($M49=" ",0,44))))</f>
        <v>0</v>
      </c>
      <c r="CJ104" s="128" t="s">
        <v>429</v>
      </c>
      <c r="CK104" s="128"/>
      <c r="CL104" s="128"/>
      <c r="CM104" s="128"/>
      <c r="CN104" s="128"/>
      <c r="CO104" s="128"/>
      <c r="CP104" s="128"/>
      <c r="CQ104" s="37"/>
      <c r="CU104" s="24">
        <f>IF(AND(CV83="3D",CX84=2),"WIRE SIZE L2",IF(CZ84=1,"NEUTRAL SIZE",IF(DA84=1,"GROUND SIZE",0)))</f>
        <v>0</v>
      </c>
      <c r="CW104" s="24"/>
      <c r="CX104" s="24"/>
      <c r="CY104" s="24"/>
      <c r="CZ104" s="24"/>
      <c r="DA104" s="24"/>
      <c r="DB104" s="24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K104" s="149"/>
      <c r="EL104" s="154"/>
      <c r="EM104" s="154" t="s">
        <v>262</v>
      </c>
      <c r="EN104" s="154" t="s">
        <v>262</v>
      </c>
    </row>
    <row r="105" spans="77:150" ht="14.1" hidden="1" customHeight="1">
      <c r="BZ105" s="136"/>
      <c r="CA105" s="128">
        <f t="shared" si="25"/>
        <v>46</v>
      </c>
      <c r="CB105" s="129">
        <f>IF(SUM(CB$83:CB104)=0,CC105,0)</f>
        <v>0</v>
      </c>
      <c r="CC105" s="129">
        <f>IF(H$5&lt;46,0,IF(K50="G",0,IF(K50="C",0,IF(K50="M",0,IF(K50="K",0,IF(AND(OR($H$10="FULL",$H$10="AUTO"),OR($H$8=1,$H$8="3Y"),K50="D"),0,46))))))</f>
        <v>0</v>
      </c>
      <c r="CD105" s="128" t="str">
        <f>IF($H$10="NONE","ENTER CIRCUIT #46 LOAD IDENTIFIER  ( G, C, M, K )",IF($H$8="3D","ENTER CIRCUIT #46 LOAD IDENTIFIER  ( G, C, M, K )","ENTER CIRCUIT #46 LOAD IDENTIFIER  ( G, D, C, M, K )"))</f>
        <v>ENTER CIRCUIT #46 LOAD IDENTIFIER  ( G, D, C, M, K )</v>
      </c>
      <c r="CE105" s="129">
        <f>IF(SUM(CE$83:CE104)=0,CF105,0)</f>
        <v>0</v>
      </c>
      <c r="CF105" s="129">
        <f>IF(H$5&lt;46,0,IF(ISBLANK(L50)=TRUE,46,IF(L50=" ",0,IF(L50="H",0,46))))</f>
        <v>0</v>
      </c>
      <c r="CG105" s="128" t="s">
        <v>340</v>
      </c>
      <c r="CH105" s="129">
        <f>IF(SUM(CH$83:CH104)=0,CI105,0)</f>
        <v>0</v>
      </c>
      <c r="CI105" s="132">
        <f>IF($H$5&lt;46,0,IF(ISBLANK($M50)=TRUE,46,IF($M50=" ",0,IF(AND($H$8&lt;&gt;"3D",$M50="N"),0,46))))</f>
        <v>0</v>
      </c>
      <c r="CJ105" s="128" t="str">
        <f>IF($H$8&lt;&gt;"3D","ENTER CIRCUIT #46 NEUTRAL IDENTIFIER  ( N or SPACE )","ENTER CIRCUIT #46 NEUTRAL IDENTIFIER  ( SPACE )")</f>
        <v>ENTER CIRCUIT #46 NEUTRAL IDENTIFIER  ( N or SPACE )</v>
      </c>
      <c r="CK105" s="128"/>
      <c r="CL105" s="128"/>
      <c r="CM105" s="128"/>
      <c r="CN105" s="128"/>
      <c r="CO105" s="128"/>
      <c r="CP105" s="128"/>
      <c r="CQ105" s="37"/>
      <c r="CU105" s="24"/>
      <c r="CW105" s="24"/>
      <c r="CX105" s="24"/>
      <c r="CY105" s="24"/>
      <c r="CZ105" s="24"/>
      <c r="DA105" s="24"/>
      <c r="DB105" s="24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95"/>
      <c r="EG105" s="296"/>
      <c r="EK105" s="149"/>
      <c r="EL105" s="154"/>
      <c r="EM105" s="154"/>
      <c r="EN105" s="154"/>
    </row>
    <row r="106" spans="77:150" ht="14.1" hidden="1" customHeight="1">
      <c r="BZ106" s="136"/>
      <c r="CA106" s="128">
        <f t="shared" si="25"/>
        <v>48</v>
      </c>
      <c r="CB106" s="129">
        <f>IF(SUM(CB$83:CB105)=0,CC106,0)</f>
        <v>0</v>
      </c>
      <c r="CC106" s="129">
        <f>IF(H$5&lt;48,0,IF(K51="G",0,IF(K51="C",0,IF(K51="M",0,IF(K51="K",0,IF(AND(OR($H$10="FULL",$H$10="AUTO"),K51="D"),0,48))))))</f>
        <v>0</v>
      </c>
      <c r="CD106" s="128" t="str">
        <f>IF($H$10="NONE","ENTER CIRCUIT #48 LOAD IDENTIFIER  ( G, C, M, K )","ENTER CIRCUIT #48 LOAD IDENTIFIER  ( G, D, C, M, K )")</f>
        <v>ENTER CIRCUIT #48 LOAD IDENTIFIER  ( G, D, C, M, K )</v>
      </c>
      <c r="CE106" s="129">
        <f>IF(SUM(CE$83:CE105)=0,CF106,0)</f>
        <v>0</v>
      </c>
      <c r="CF106" s="129">
        <f>IF(H$5&lt;48,0,IF(ISBLANK(L51)=TRUE,48,IF(L51=" ",0,IF(L51="H",0,48))))</f>
        <v>0</v>
      </c>
      <c r="CG106" s="128" t="s">
        <v>341</v>
      </c>
      <c r="CH106" s="129">
        <f>IF(SUM(CH$83:CH105)=0,CI106,0)</f>
        <v>0</v>
      </c>
      <c r="CI106" s="132">
        <f>IF($H$5&lt;48,0,IF(ISBLANK($M51)=TRUE,48,IF($M51="N",0,IF($M51=" ",0,48))))</f>
        <v>0</v>
      </c>
      <c r="CJ106" s="128" t="s">
        <v>430</v>
      </c>
      <c r="CK106" s="128"/>
      <c r="CL106" s="128"/>
      <c r="CM106" s="128"/>
      <c r="CN106" s="128"/>
      <c r="CO106" s="128"/>
      <c r="CP106" s="128"/>
      <c r="CQ106" s="37"/>
      <c r="CU106" s="24"/>
      <c r="CW106" s="24"/>
      <c r="CX106" s="24"/>
      <c r="CY106" s="24"/>
      <c r="CZ106" s="24"/>
      <c r="DA106" s="24"/>
      <c r="DB106" s="24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96"/>
      <c r="EK106" s="149"/>
      <c r="EL106" s="154" t="str">
        <f>CONCATENATE(EL101,EL102)</f>
        <v>0.6 VD</v>
      </c>
      <c r="EM106" s="154" t="str">
        <f>CONCATENATE(EM103,EM104)</f>
        <v>0.5 VD</v>
      </c>
      <c r="EN106" s="154" t="str">
        <f>CONCATENATE(EN103,EN104)</f>
        <v>0.5 VD</v>
      </c>
      <c r="EO106" s="1" t="str">
        <f>CONCATENATE(EO101,EO102)</f>
        <v>0.6 VD</v>
      </c>
    </row>
    <row r="107" spans="77:150" ht="14.1" hidden="1" customHeight="1">
      <c r="BZ107" s="136"/>
      <c r="CA107" s="128">
        <f t="shared" si="25"/>
        <v>50</v>
      </c>
      <c r="CB107" s="129">
        <f>IF(SUM(CB$83:CB106)=0,CC107,0)</f>
        <v>0</v>
      </c>
      <c r="CC107" s="129">
        <f>IF(H$5&lt;50,0,IF(K52="G",0,IF(K52="C",0,IF(K52="M",0,IF(K52="K",0,IF(AND(OR($H$10="FULL",$H$10="AUTO"),K52="D"),0,50))))))</f>
        <v>0</v>
      </c>
      <c r="CD107" s="128" t="str">
        <f>IF($H$10="NONE","ENTER CIRCUIT #50 LOAD IDENTIFIER  ( G, C, M, K )","ENTER CIRCUIT #50 LOAD IDENTIFIER  ( G, D, C, M, K )")</f>
        <v>ENTER CIRCUIT #50 LOAD IDENTIFIER  ( G, D, C, M, K )</v>
      </c>
      <c r="CE107" s="129">
        <f>IF(SUM(CE$83:CE106)=0,CF107,0)</f>
        <v>0</v>
      </c>
      <c r="CF107" s="129">
        <f>IF(H$5&lt;50,0,IF(ISBLANK(L52)=TRUE,50,IF(L52=" ",0,IF(L52="H",0,50))))</f>
        <v>0</v>
      </c>
      <c r="CG107" s="128" t="s">
        <v>342</v>
      </c>
      <c r="CH107" s="129">
        <f>IF(SUM(CH$83:CH106)=0,CI107,0)</f>
        <v>0</v>
      </c>
      <c r="CI107" s="132">
        <f>IF($H$5&lt;50,0,IF(ISBLANK($M52)=TRUE,50,IF($M52="N",0,IF($M52=" ",0,50))))</f>
        <v>0</v>
      </c>
      <c r="CJ107" s="128" t="s">
        <v>431</v>
      </c>
      <c r="CK107" s="128"/>
      <c r="CL107" s="128"/>
      <c r="CM107" s="128"/>
      <c r="CN107" s="128"/>
      <c r="CO107" s="128"/>
      <c r="CP107" s="128"/>
      <c r="CQ107" s="37"/>
      <c r="CU107" s="24"/>
      <c r="CW107" s="24"/>
      <c r="CX107" s="24"/>
      <c r="CY107" s="24"/>
      <c r="CZ107" s="24"/>
      <c r="DA107" s="24"/>
      <c r="DB107" s="24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K107" s="149"/>
      <c r="EL107" s="154" t="str">
        <f>CONCATENATE(EL89,EL90,EL91,EL92,EL93,EL94,EL95,EL96,EL97,EL98,EL99,EL100,EL101,EL102)</f>
        <v>( 2 X 10' L X 0.5080 R X 57.9 A ÷ 1,000 )  = 0.6 VD</v>
      </c>
      <c r="EM107" s="154" t="str">
        <f>CONCATENATE(EM89,EM90,EM91,EM92,EM93,EM94,EM95,EM96,EM97,EM98,EM99,EM100,EM101,EM102,EM103,EM104)</f>
        <v>( 2 X 10' L X 0.5080 R X 57.9 A ÷ 1,000 X 0.866 )  = 0.5 VD</v>
      </c>
      <c r="EN107" s="154" t="str">
        <f>CONCATENATE(EN89,EN90,EN91,EN92,EN93,EN94,EN95,EN96,EN97,EN98,EN99,EN100,EN101,EN102,EN103,EN104)</f>
        <v>( 2 X 10' L X 0.5080 R X 57.9 A ÷ 1,000 X 0.866 )  = 0.5 VD</v>
      </c>
      <c r="EO107" s="1" t="str">
        <f>CONCATENATE(EO89,EO90,EO91,EO92,EO93,EO94,EO95,EO96,EO97,EO98,EO99,EO100,EO101,EO102)</f>
        <v>( 2 X 10' L X 0.5080 R X 57.9 A ÷ 1,000 )  = 0.6 VD</v>
      </c>
    </row>
    <row r="108" spans="77:150" ht="14.1" hidden="1" customHeight="1">
      <c r="BZ108" s="136"/>
      <c r="CA108" s="128">
        <f t="shared" si="25"/>
        <v>52</v>
      </c>
      <c r="CB108" s="129">
        <f>IF(SUM(CB$83:CB107)=0,CC108,0)</f>
        <v>0</v>
      </c>
      <c r="CC108" s="129">
        <f>IF(H$5&lt;52,0,IF(K53="G",0,IF(K53="C",0,IF(K53="M",0,IF(K53="K",0,IF(AND(OR($H$10="FULL",$H$10="AUTO"),OR($H$8=1,$H$8="3Y"),K53="D"),0,52))))))</f>
        <v>0</v>
      </c>
      <c r="CD108" s="128" t="str">
        <f>IF($H$10="NONE","ENTER CIRCUIT #52 LOAD IDENTIFIER  ( G, C, M, K )",IF($H$8="3D","ENTER CIRCUIT #52 LOAD IDENTIFIER  ( G, C, M, K )","ENTER CIRCUIT #52 LOAD IDENTIFIER  ( G, D, C, M, K )"))</f>
        <v>ENTER CIRCUIT #52 LOAD IDENTIFIER  ( G, D, C, M, K )</v>
      </c>
      <c r="CE108" s="129">
        <f>IF(SUM(CE$83:CE107)=0,CF108,0)</f>
        <v>0</v>
      </c>
      <c r="CF108" s="129">
        <f>IF(H$5&lt;52,0,IF(ISBLANK(L53)=TRUE,52,IF(L53=" ",0,IF(L53="H",0,52))))</f>
        <v>0</v>
      </c>
      <c r="CG108" s="128" t="s">
        <v>343</v>
      </c>
      <c r="CH108" s="129">
        <f>IF(SUM(CH$83:CH107)=0,CI108,0)</f>
        <v>0</v>
      </c>
      <c r="CI108" s="132">
        <f>IF($H$5&lt;52,0,IF(ISBLANK($M53)=TRUE,52,IF($M53=" ",0,IF(AND($H$8&lt;&gt;"3D",$M53="N"),0,52))))</f>
        <v>0</v>
      </c>
      <c r="CJ108" s="128" t="str">
        <f>IF($H$8&lt;&gt;"3D","ENTER CIRCUIT #52 NEUTRAL IDENTIFIER  ( N or SPACE )","ENTER CIRCUIT #52 NEUTRAL IDENTIFIER  ( SPACE )")</f>
        <v>ENTER CIRCUIT #52 NEUTRAL IDENTIFIER  ( N or SPACE )</v>
      </c>
      <c r="CK108" s="128"/>
      <c r="CL108" s="128"/>
      <c r="CM108" s="128"/>
      <c r="CN108" s="128"/>
      <c r="CO108" s="128"/>
      <c r="CP108" s="128"/>
      <c r="CQ108" s="37"/>
      <c r="CU108" s="24"/>
      <c r="CW108" s="24"/>
      <c r="CX108" s="24"/>
      <c r="CY108" s="24"/>
      <c r="CZ108" s="24"/>
      <c r="DA108" s="24"/>
      <c r="DB108" s="24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K108" s="149"/>
      <c r="EL108" s="154"/>
      <c r="EM108" s="154"/>
      <c r="EN108" s="154"/>
    </row>
    <row r="109" spans="77:150" ht="14.1" hidden="1" customHeight="1">
      <c r="BZ109" s="136"/>
      <c r="CA109" s="128">
        <f t="shared" si="25"/>
        <v>54</v>
      </c>
      <c r="CB109" s="129">
        <f>IF(SUM(CB$83:CB108)=0,CC109,0)</f>
        <v>0</v>
      </c>
      <c r="CC109" s="129">
        <f>IF(H$5&lt;54,0,IF(K54="G",0,IF(K54="C",0,IF(K54="M",0,IF(K54="K",0,IF(AND(OR($H$10="FULL",$H$10="AUTO"),K54="D"),0,54))))))</f>
        <v>0</v>
      </c>
      <c r="CD109" s="128" t="str">
        <f>IF($H$10="NONE","ENTER CIRCUIT #54 LOAD IDENTIFIER  ( G, C, M, K )","ENTER CIRCUIT #54 LOAD IDENTIFIER  ( G, D, C, M, K )")</f>
        <v>ENTER CIRCUIT #54 LOAD IDENTIFIER  ( G, D, C, M, K )</v>
      </c>
      <c r="CE109" s="129">
        <f>IF(SUM(CE$83:CE108)=0,CF109,0)</f>
        <v>0</v>
      </c>
      <c r="CF109" s="129">
        <f>IF(H$5&lt;54,0,IF(ISBLANK(L54)=TRUE,54,IF(L54=" ",0,IF(L54="H",0,54))))</f>
        <v>0</v>
      </c>
      <c r="CG109" s="128" t="s">
        <v>344</v>
      </c>
      <c r="CH109" s="129">
        <f>IF(SUM(CH$83:CH108)=0,CI109,0)</f>
        <v>0</v>
      </c>
      <c r="CI109" s="132">
        <f>IF($H$5&lt;54,0,IF(ISBLANK($M54)=TRUE,54,IF($M54="N",0,IF($M54=" ",0,54))))</f>
        <v>0</v>
      </c>
      <c r="CJ109" s="128" t="s">
        <v>432</v>
      </c>
      <c r="CK109" s="128"/>
      <c r="CL109" s="128"/>
      <c r="CM109" s="128"/>
      <c r="CN109" s="128"/>
      <c r="CO109" s="128"/>
      <c r="CP109" s="128"/>
      <c r="CQ109" s="37"/>
      <c r="CU109" s="24"/>
      <c r="CX109" s="24"/>
      <c r="CY109" s="24"/>
      <c r="CZ109" s="24"/>
      <c r="DA109" s="24"/>
      <c r="DB109" s="24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 t="s">
        <v>68</v>
      </c>
      <c r="EC109" s="22" t="s">
        <v>68</v>
      </c>
      <c r="EK109" s="149"/>
      <c r="EL109" s="154"/>
      <c r="EM109" s="154"/>
      <c r="EN109" s="154"/>
    </row>
    <row r="110" spans="77:150" ht="14.1" hidden="1" customHeight="1">
      <c r="BZ110" s="136"/>
      <c r="CA110" s="128">
        <f t="shared" si="25"/>
        <v>56</v>
      </c>
      <c r="CB110" s="129">
        <f>IF(SUM(CB$83:CB109)=0,CC110,0)</f>
        <v>0</v>
      </c>
      <c r="CC110" s="129">
        <f>IF(H$5&lt;56,0,IF(K55="G",0,IF(K55="C",0,IF(K55="M",0,IF(K55="K",0,IF(AND(OR($H$10="FULL",$H$10="AUTO"),K55="D"),0,56))))))</f>
        <v>0</v>
      </c>
      <c r="CD110" s="128" t="str">
        <f>IF($H$10="NONE","ENTER CIRCUIT #56 LOAD IDENTIFIER  ( G, C, M, K )","ENTER CIRCUIT #56 LOAD IDENTIFIER  ( G, D, C, M, K )")</f>
        <v>ENTER CIRCUIT #56 LOAD IDENTIFIER  ( G, D, C, M, K )</v>
      </c>
      <c r="CE110" s="129">
        <f>IF(SUM(CE$83:CE109)=0,CF110,0)</f>
        <v>0</v>
      </c>
      <c r="CF110" s="129">
        <f>IF(H$5&lt;56,0,IF(ISBLANK(L55)=TRUE,56,IF(L55=" ",0,IF(L55="H",0,56))))</f>
        <v>0</v>
      </c>
      <c r="CG110" s="128" t="s">
        <v>345</v>
      </c>
      <c r="CH110" s="129">
        <f>IF(SUM(CH$83:CH109)=0,CI110,0)</f>
        <v>0</v>
      </c>
      <c r="CI110" s="132">
        <f>IF($H$5&lt;56,0,IF(ISBLANK($M55)=TRUE,56,IF($M55="N",0,IF($M55=" ",0,56))))</f>
        <v>0</v>
      </c>
      <c r="CJ110" s="128" t="s">
        <v>433</v>
      </c>
      <c r="CK110" s="128"/>
      <c r="CL110" s="128"/>
      <c r="CM110" s="128"/>
      <c r="CN110" s="128"/>
      <c r="CO110" s="128"/>
      <c r="CP110" s="128"/>
      <c r="CQ110" s="37"/>
      <c r="CU110" s="24"/>
      <c r="CY110" s="23"/>
      <c r="DB110" s="24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 t="s">
        <v>38</v>
      </c>
      <c r="EC110" s="22" t="s">
        <v>68</v>
      </c>
      <c r="EG110" s="295"/>
      <c r="EK110" s="149"/>
      <c r="EL110" s="154"/>
      <c r="EM110" s="154"/>
      <c r="EN110" s="154"/>
    </row>
    <row r="111" spans="77:150" ht="14.1" hidden="1" customHeight="1">
      <c r="BZ111" s="136"/>
      <c r="CA111" s="128">
        <f t="shared" si="25"/>
        <v>58</v>
      </c>
      <c r="CB111" s="129">
        <f>IF(SUM(CB$83:CB110)=0,CC111,0)</f>
        <v>0</v>
      </c>
      <c r="CC111" s="129">
        <f>IF(H$5&lt;58,0,IF(K56="G",0,IF(K56="C",0,IF(K56="M",0,IF(K56="K",0,IF(AND(OR($H$10="FULL",$H$10="AUTO"),OR($H$8=1,$H$8="3Y"),K56="D"),0,58))))))</f>
        <v>0</v>
      </c>
      <c r="CD111" s="128" t="str">
        <f>IF($H$10="NONE","ENTER CIRCUIT #58 LOAD IDENTIFIER  ( G, C, M, K )",IF($H$8="3D","ENTER CIRCUIT #58 LOAD IDENTIFIER  ( G, C, M, K )","ENTER CIRCUIT #58 LOAD IDENTIFIER  ( G, D, C, M, K )"))</f>
        <v>ENTER CIRCUIT #58 LOAD IDENTIFIER  ( G, D, C, M, K )</v>
      </c>
      <c r="CE111" s="129">
        <f>IF(SUM(CE$83:CE110)=0,CF111,0)</f>
        <v>0</v>
      </c>
      <c r="CF111" s="129">
        <f>IF(H$5&lt;58,0,IF(ISBLANK(L56)=TRUE,58,IF(L56=" ",0,IF(L56="H",0,58))))</f>
        <v>0</v>
      </c>
      <c r="CG111" s="128" t="s">
        <v>346</v>
      </c>
      <c r="CH111" s="129">
        <f>IF(SUM(CH$83:CH110)=0,CI111,0)</f>
        <v>0</v>
      </c>
      <c r="CI111" s="132">
        <f>IF($H$5&lt;58,0,IF(ISBLANK($M56)=TRUE,58,IF($M56=" ",0,IF(AND($H$8&lt;&gt;"3D",$M56="N"),0,58))))</f>
        <v>0</v>
      </c>
      <c r="CJ111" s="128" t="str">
        <f>IF($H$8&lt;&gt;"3D","ENTER CIRCUIT #58 NEUTRAL IDENTIFIER  ( N or SPACE )","ENTER CIRCUIT #58 NEUTRAL IDENTIFIER  ( SPACE )")</f>
        <v>ENTER CIRCUIT #58 NEUTRAL IDENTIFIER  ( N or SPACE )</v>
      </c>
      <c r="CK111" s="128"/>
      <c r="CL111" s="128"/>
      <c r="CM111" s="128"/>
      <c r="CN111" s="128"/>
      <c r="CO111" s="128"/>
      <c r="CP111" s="128"/>
      <c r="CQ111" s="37"/>
      <c r="CY111" s="23"/>
      <c r="DB111" s="24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 t="s">
        <v>7</v>
      </c>
      <c r="EC111" s="22" t="s">
        <v>38</v>
      </c>
      <c r="EK111" s="149"/>
      <c r="EL111" s="154"/>
      <c r="EM111" s="154"/>
      <c r="EN111" s="154"/>
    </row>
    <row r="112" spans="77:150" ht="14.1" hidden="1" customHeight="1">
      <c r="BZ112" s="136"/>
      <c r="CA112" s="128">
        <f t="shared" si="25"/>
        <v>60</v>
      </c>
      <c r="CB112" s="129">
        <f>IF(SUM(CB$83:CB111)=0,CC112,0)</f>
        <v>0</v>
      </c>
      <c r="CC112" s="129">
        <f>IF(H$5&lt;60,0,IF(K57="G",0,IF(K57="C",0,IF(K57="M",0,IF(K57="K",0,IF(AND(OR($H$10="FULL",$H$10="AUTO"),K57="D"),0,60))))))</f>
        <v>0</v>
      </c>
      <c r="CD112" s="128" t="str">
        <f>IF($H$10="NONE","ENTER CIRCUIT #60 LOAD IDENTIFIER  ( G, C, M, K )","ENTER CIRCUIT #60 LOAD IDENTIFIER  ( G, D, C, M, K )")</f>
        <v>ENTER CIRCUIT #60 LOAD IDENTIFIER  ( G, D, C, M, K )</v>
      </c>
      <c r="CE112" s="129">
        <f>IF(SUM(CE$83:CE111)=0,CF112,0)</f>
        <v>0</v>
      </c>
      <c r="CF112" s="129">
        <f>IF(H$5&lt;60,0,IF(ISBLANK(L57)=TRUE,60,IF(L57=" ",0,IF(L57="H",0,60))))</f>
        <v>0</v>
      </c>
      <c r="CG112" s="128" t="s">
        <v>347</v>
      </c>
      <c r="CH112" s="129">
        <f>IF(SUM(CH$83:CH111)=0,CI112,0)</f>
        <v>0</v>
      </c>
      <c r="CI112" s="132">
        <f>IF($H$5&lt;60,0,IF(ISBLANK($M57)=TRUE,60,IF($M57="N",0,IF($M57=" ",0,60))))</f>
        <v>0</v>
      </c>
      <c r="CJ112" s="128" t="s">
        <v>434</v>
      </c>
      <c r="CK112" s="128"/>
      <c r="CL112" s="128"/>
      <c r="CM112" s="128"/>
      <c r="CN112" s="128"/>
      <c r="CO112" s="128"/>
      <c r="CP112" s="128"/>
      <c r="CQ112" s="37"/>
      <c r="CY112" s="23"/>
      <c r="DB112" s="24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 t="s">
        <v>74</v>
      </c>
      <c r="EK112" s="149"/>
      <c r="EL112" s="154"/>
      <c r="EM112" s="154"/>
      <c r="EN112" s="154"/>
    </row>
    <row r="113" spans="78:145" ht="14.1" hidden="1" customHeight="1">
      <c r="BZ113" s="136"/>
      <c r="CA113" s="128">
        <f t="shared" si="25"/>
        <v>62</v>
      </c>
      <c r="CB113" s="129">
        <f>IF(SUM(CB$83:CB112)=0,CC113,0)</f>
        <v>0</v>
      </c>
      <c r="CC113" s="129">
        <f>IF(H$5&lt;62,0,IF(K58="G",0,IF(K58="C",0,IF(K58="M",0,IF(K58="K",0,IF(AND(OR($H$10="FULL",$H$10="AUTO"),K58="D"),0,62))))))</f>
        <v>0</v>
      </c>
      <c r="CD113" s="128" t="str">
        <f>IF($H$10="NONE","ENTER CIRCUIT #62 LOAD IDENTIFIER  ( G, C, M, K )","ENTER CIRCUIT #62 LOAD IDENTIFIER  ( G, D, C, M, K )")</f>
        <v>ENTER CIRCUIT #62 LOAD IDENTIFIER  ( G, D, C, M, K )</v>
      </c>
      <c r="CE113" s="129">
        <f>IF(SUM(CE$83:CE112)=0,CF113,0)</f>
        <v>0</v>
      </c>
      <c r="CF113" s="129">
        <f>IF(H$5&lt;62,0,IF(ISBLANK(L58)=TRUE,62,IF(L58=" ",0,IF(L58="H",0,62))))</f>
        <v>0</v>
      </c>
      <c r="CG113" s="128" t="s">
        <v>348</v>
      </c>
      <c r="CH113" s="129">
        <f>IF(SUM(CH$83:CH112)=0,CI113,0)</f>
        <v>0</v>
      </c>
      <c r="CI113" s="132">
        <f>IF($H$5&lt;62,0,IF(ISBLANK($M58)=TRUE,62,IF($M58="N",0,IF($M58=" ",0,62))))</f>
        <v>0</v>
      </c>
      <c r="CJ113" s="128" t="s">
        <v>435</v>
      </c>
      <c r="CK113" s="128"/>
      <c r="CL113" s="128"/>
      <c r="CM113" s="128"/>
      <c r="CN113" s="128"/>
      <c r="CO113" s="128"/>
      <c r="CP113" s="128"/>
      <c r="CQ113" s="37"/>
      <c r="CY113" s="23"/>
      <c r="DB113" s="24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>
        <v>3</v>
      </c>
      <c r="EC113" s="22" t="s">
        <v>169</v>
      </c>
      <c r="EK113" s="149"/>
      <c r="EL113" s="154"/>
      <c r="EM113" s="154"/>
      <c r="EN113" s="154"/>
    </row>
    <row r="114" spans="78:145" ht="14.1" hidden="1" customHeight="1">
      <c r="BZ114" s="136"/>
      <c r="CA114" s="128">
        <f t="shared" si="25"/>
        <v>64</v>
      </c>
      <c r="CB114" s="129">
        <f>IF(SUM(CB$83:CB113)=0,CC114,0)</f>
        <v>0</v>
      </c>
      <c r="CC114" s="129">
        <f>IF(H$5&lt;64,0,IF(K59="G",0,IF(K59="C",0,IF(K59="M",0,IF(K59="K",0,IF(AND(OR($H$10="FULL",$H$10="AUTO"),OR($H$8=1,$H$8="3Y"),K59="D"),0,64))))))</f>
        <v>0</v>
      </c>
      <c r="CD114" s="128" t="str">
        <f>IF($H$10="NONE","ENTER CIRCUIT #64 LOAD IDENTIFIER  ( G, C, M, K )",IF($H$8="3D","ENTER CIRCUIT #64 LOAD IDENTIFIER  ( G, C, M, K )","ENTER CIRCUIT #64 LOAD IDENTIFIER  ( G, D, C, M, K )"))</f>
        <v>ENTER CIRCUIT #64 LOAD IDENTIFIER  ( G, D, C, M, K )</v>
      </c>
      <c r="CE114" s="129">
        <f>IF(SUM(CE$83:CE113)=0,CF114,0)</f>
        <v>0</v>
      </c>
      <c r="CF114" s="129">
        <f>IF(H$5&lt;64,0,IF(ISBLANK(L59)=TRUE,64,IF(L59=" ",0,IF(L59="H",0,64))))</f>
        <v>0</v>
      </c>
      <c r="CG114" s="128" t="s">
        <v>349</v>
      </c>
      <c r="CH114" s="129">
        <f>IF(SUM(CH$83:CH113)=0,CI114,0)</f>
        <v>0</v>
      </c>
      <c r="CI114" s="132">
        <f>IF($H$5&lt;64,0,IF(ISBLANK($M59)=TRUE,64,IF($M59=" ",0,IF(AND($H$8&lt;&gt;"3D",$M59="N"),0,64))))</f>
        <v>0</v>
      </c>
      <c r="CJ114" s="128" t="str">
        <f>IF($H$8&lt;&gt;"3D","ENTER CIRCUIT #64 NEUTRAL IDENTIFIER  ( N or SPACE )","ENTER CIRCUIT #64 NEUTRAL IDENTIFIER  ( SPACE )")</f>
        <v>ENTER CIRCUIT #64 NEUTRAL IDENTIFIER  ( N or SPACE )</v>
      </c>
      <c r="CK114" s="128"/>
      <c r="CL114" s="128"/>
      <c r="CM114" s="128"/>
      <c r="CN114" s="128"/>
      <c r="CO114" s="128"/>
      <c r="CP114" s="128"/>
      <c r="CQ114" s="37"/>
      <c r="DB114" s="24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>
        <v>4</v>
      </c>
      <c r="EC114" s="22" t="s">
        <v>173</v>
      </c>
      <c r="EK114" s="149"/>
      <c r="EL114" s="154"/>
      <c r="EM114" s="154"/>
      <c r="EN114" s="154"/>
    </row>
    <row r="115" spans="78:145" ht="14.1" hidden="1" customHeight="1">
      <c r="BZ115" s="136"/>
      <c r="CA115" s="128">
        <f t="shared" si="25"/>
        <v>66</v>
      </c>
      <c r="CB115" s="129">
        <f>IF(SUM(CB$83:CB114)=0,CC115,0)</f>
        <v>0</v>
      </c>
      <c r="CC115" s="129">
        <f>IF(H$5&lt;66,0,IF(K60="G",0,IF(K60="C",0,IF(K60="M",0,IF(K60="K",0,IF(AND(OR($H$10="FULL",$H$10="AUTO"),K60="D"),0,66))))))</f>
        <v>0</v>
      </c>
      <c r="CD115" s="128" t="str">
        <f>IF($H$10="NONE","ENTER CIRCUIT #66 LOAD IDENTIFIER  ( G, C, M, K )","ENTER CIRCUIT #66 LOAD IDENTIFIER  ( G, D, C, M, K )")</f>
        <v>ENTER CIRCUIT #66 LOAD IDENTIFIER  ( G, D, C, M, K )</v>
      </c>
      <c r="CE115" s="129">
        <f>IF(SUM(CE$83:CE114)=0,CF115,0)</f>
        <v>0</v>
      </c>
      <c r="CF115" s="129">
        <f>IF(H$5&lt;66,0,IF(ISBLANK(L60)=TRUE,66,IF(L60=" ",0,IF(L60="H",0,66))))</f>
        <v>0</v>
      </c>
      <c r="CG115" s="128" t="s">
        <v>350</v>
      </c>
      <c r="CH115" s="129">
        <f>IF(SUM(CH$83:CH114)=0,CI115,0)</f>
        <v>0</v>
      </c>
      <c r="CI115" s="132">
        <f>IF($H$5&lt;66,0,IF(ISBLANK($M60)=TRUE,66,IF($M60="N",0,IF($M60=" ",0,66))))</f>
        <v>0</v>
      </c>
      <c r="CJ115" s="128" t="s">
        <v>436</v>
      </c>
      <c r="CK115" s="128"/>
      <c r="CL115" s="128"/>
      <c r="CM115" s="128"/>
      <c r="CN115" s="128"/>
      <c r="CO115" s="128"/>
      <c r="CP115" s="128"/>
      <c r="CQ115" s="37"/>
      <c r="DB115" s="24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>
        <v>5</v>
      </c>
      <c r="EC115" s="22" t="s">
        <v>76</v>
      </c>
      <c r="EJ115" s="1" t="s">
        <v>125</v>
      </c>
      <c r="EK115" s="149"/>
      <c r="EL115" s="154"/>
      <c r="EM115" s="154"/>
      <c r="EN115" s="154"/>
    </row>
    <row r="116" spans="78:145" ht="14.1" hidden="1" customHeight="1">
      <c r="BZ116" s="136"/>
      <c r="CA116" s="128">
        <f t="shared" si="25"/>
        <v>68</v>
      </c>
      <c r="CB116" s="129">
        <f>IF(SUM(CB$83:CB115)=0,CC116,0)</f>
        <v>0</v>
      </c>
      <c r="CC116" s="129">
        <f>IF(H$5&lt;68,0,IF(K61="G",0,IF(K61="C",0,IF(K61="M",0,IF(K61="K",0,IF(AND(OR($H$10="FULL",$H$10="AUTO"),K61="D"),0,68))))))</f>
        <v>0</v>
      </c>
      <c r="CD116" s="128" t="str">
        <f>IF($H$10="NONE","ENTER CIRCUIT #68 LOAD IDENTIFIER  ( G, C, M, K )","ENTER CIRCUIT #68 LOAD IDENTIFIER  ( G, D, C, M, K )")</f>
        <v>ENTER CIRCUIT #68 LOAD IDENTIFIER  ( G, D, C, M, K )</v>
      </c>
      <c r="CE116" s="129">
        <f>IF(SUM(CE$83:CE115)=0,CF116,0)</f>
        <v>0</v>
      </c>
      <c r="CF116" s="129">
        <f>IF(H$5&lt;68,0,IF(ISBLANK(L61)=TRUE,68,IF(L61=" ",0,IF(L61="H",0,68))))</f>
        <v>0</v>
      </c>
      <c r="CG116" s="128" t="s">
        <v>351</v>
      </c>
      <c r="CH116" s="129">
        <f>IF(SUM(CH$83:CH115)=0,CI116,0)</f>
        <v>0</v>
      </c>
      <c r="CI116" s="132">
        <f>IF($H$5&lt;68,0,IF(ISBLANK($M61)=TRUE,68,IF($M61="N",0,IF($M61=" ",0,68))))</f>
        <v>0</v>
      </c>
      <c r="CJ116" s="128" t="s">
        <v>437</v>
      </c>
      <c r="CK116" s="128"/>
      <c r="CL116" s="128"/>
      <c r="CM116" s="128"/>
      <c r="CN116" s="128"/>
      <c r="CO116" s="128"/>
      <c r="CP116" s="128"/>
      <c r="CQ116" s="1"/>
      <c r="DB116" s="24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>
        <v>6</v>
      </c>
      <c r="EC116" s="22" t="s">
        <v>80</v>
      </c>
      <c r="EJ116" s="1" t="s">
        <v>552</v>
      </c>
      <c r="EK116" s="303" t="str">
        <f>EL107</f>
        <v>( 2 X 10' L X 0.5080 R X 57.9 A ÷ 1,000 )  = 0.6 VD</v>
      </c>
      <c r="EM116" s="149"/>
      <c r="EN116" s="1" t="s">
        <v>553</v>
      </c>
      <c r="EO116" s="1" t="str">
        <f>EQ98</f>
        <v>( 0.6 VD ÷ 240 V X 100 ) = 0.3 % VD</v>
      </c>
    </row>
    <row r="117" spans="78:145" ht="14.1" hidden="1" customHeight="1">
      <c r="BZ117" s="136"/>
      <c r="CA117" s="128">
        <f t="shared" si="25"/>
        <v>70</v>
      </c>
      <c r="CB117" s="129">
        <f>IF(SUM(CB$83:CB116)=0,CC117,0)</f>
        <v>0</v>
      </c>
      <c r="CC117" s="129">
        <f>IF(H$5&lt;70,0,IF(K62="G",0,IF(K62="C",0,IF(K62="M",0,IF(K62="K",0,IF(AND(OR($H$10="FULL",$H$10="AUTO"),OR($H$8=1,$H$8="3Y"),K62="D"),0,70))))))</f>
        <v>0</v>
      </c>
      <c r="CD117" s="128" t="str">
        <f>IF($H$10="NONE","ENTER CIRCUIT #70 LOAD IDENTIFIER  ( G, C, M, K )",IF($H$8="3D","ENTER CIRCUIT #70 LOAD IDENTIFIER  ( G, C, M, K )","ENTER CIRCUIT #70 LOAD IDENTIFIER  ( G, D, C, M, K )"))</f>
        <v>ENTER CIRCUIT #70 LOAD IDENTIFIER  ( G, D, C, M, K )</v>
      </c>
      <c r="CE117" s="129">
        <f>IF(SUM(CE$83:CE116)=0,CF117,0)</f>
        <v>0</v>
      </c>
      <c r="CF117" s="129">
        <f>IF(H$5&lt;70,0,IF(ISBLANK(L62)=TRUE,70,IF(L62=" ",0,IF(L62="H",0,70))))</f>
        <v>0</v>
      </c>
      <c r="CG117" s="128" t="s">
        <v>352</v>
      </c>
      <c r="CH117" s="129">
        <f>IF(SUM(CH$83:CH116)=0,CI117,0)</f>
        <v>0</v>
      </c>
      <c r="CI117" s="132">
        <f>IF($H$5&lt;70,0,IF(ISBLANK($M62)=TRUE,70,IF($M62=" ",0,IF(AND($H$8&lt;&gt;"3D",$M62="N"),0,70))))</f>
        <v>0</v>
      </c>
      <c r="CJ117" s="128" t="str">
        <f>IF($H$8&lt;&gt;"3D","ENTER CIRCUIT #70 NEUTRAL IDENTIFIER  ( N or SPACE )","ENTER CIRCUIT #70 NEUTRAL IDENTIFIER  ( SPACE )")</f>
        <v>ENTER CIRCUIT #70 NEUTRAL IDENTIFIER  ( N or SPACE )</v>
      </c>
      <c r="CK117" s="128"/>
      <c r="CL117" s="128"/>
      <c r="CM117" s="128"/>
      <c r="CN117" s="128"/>
      <c r="CO117" s="128"/>
      <c r="CP117" s="128"/>
      <c r="CQ117" s="1"/>
      <c r="DB117" s="24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>
        <v>7</v>
      </c>
      <c r="EC117" s="22" t="s">
        <v>84</v>
      </c>
      <c r="EJ117" s="1" t="s">
        <v>264</v>
      </c>
      <c r="EK117" s="303" t="str">
        <f>EM107</f>
        <v>( 2 X 10' L X 0.5080 R X 57.9 A ÷ 1,000 X 0.866 )  = 0.5 VD</v>
      </c>
      <c r="EN117" s="1" t="s">
        <v>553</v>
      </c>
      <c r="EO117" s="1" t="str">
        <f>ER98</f>
        <v>( 0.5 VD ÷ 240 V X 100 ) = 0.2 % VD</v>
      </c>
    </row>
    <row r="118" spans="78:145" ht="14.1" hidden="1" customHeight="1">
      <c r="BZ118" s="136"/>
      <c r="CA118" s="128">
        <f t="shared" si="25"/>
        <v>72</v>
      </c>
      <c r="CB118" s="129">
        <f>IF(SUM(CB$83:CB117)=0,CC118,0)</f>
        <v>0</v>
      </c>
      <c r="CC118" s="129">
        <f>IF(H$5&lt;72,0,IF(K63="G",0,IF(K63="C",0,IF(K63="M",0,IF(K63="K",0,IF(AND(OR($H$10="FULL",$H$10="AUTO"),K63="D"),0,72))))))</f>
        <v>0</v>
      </c>
      <c r="CD118" s="128" t="str">
        <f>IF($H$10="NONE","ENTER CIRCUIT #72 LOAD IDENTIFIER  ( G, C, M, K )","ENTER CIRCUIT #72 LOAD IDENTIFIER  ( G, D, C, M, K )")</f>
        <v>ENTER CIRCUIT #72 LOAD IDENTIFIER  ( G, D, C, M, K )</v>
      </c>
      <c r="CE118" s="129">
        <f>IF(SUM(CE$83:CE117)=0,CF118,0)</f>
        <v>0</v>
      </c>
      <c r="CF118" s="129">
        <f>IF(H$5&lt;72,0,IF(ISBLANK(L63)=TRUE,72,IF(L63=" ",0,IF(L63="H",0,72))))</f>
        <v>0</v>
      </c>
      <c r="CG118" s="128" t="s">
        <v>353</v>
      </c>
      <c r="CH118" s="129">
        <f>IF(SUM(CH$83:CH117)=0,CI118,0)</f>
        <v>0</v>
      </c>
      <c r="CI118" s="132">
        <f>IF($H$5&lt;72,0,IF(ISBLANK($M63)=TRUE,72,IF($M63="N",0,IF($M63=" ",0,72))))</f>
        <v>0</v>
      </c>
      <c r="CJ118" s="128" t="s">
        <v>438</v>
      </c>
      <c r="CK118" s="128"/>
      <c r="CL118" s="128"/>
      <c r="CM118" s="128"/>
      <c r="CN118" s="128"/>
      <c r="CO118" s="128"/>
      <c r="CP118" s="128"/>
      <c r="CQ118" s="1"/>
      <c r="DB118" s="24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>
        <v>8</v>
      </c>
      <c r="EC118" s="22" t="s">
        <v>83</v>
      </c>
      <c r="EJ118" s="1" t="s">
        <v>555</v>
      </c>
      <c r="EK118" s="1" t="str">
        <f>EO107</f>
        <v>( 2 X 10' L X 0.5080 R X 57.9 A ÷ 1,000 )  = 0.6 VD</v>
      </c>
      <c r="EN118" s="1" t="s">
        <v>554</v>
      </c>
      <c r="EO118" s="1" t="str">
        <f>ET98</f>
        <v>( 0.6 VD ÷ 240 V X 100 ) = 0.3 % VD</v>
      </c>
    </row>
    <row r="119" spans="78:145" ht="14.1" hidden="1" customHeight="1">
      <c r="BZ119" s="136"/>
      <c r="CA119" s="128">
        <f t="shared" si="25"/>
        <v>74</v>
      </c>
      <c r="CB119" s="129">
        <f>IF(SUM(CB$83:CB118)=0,CC119,0)</f>
        <v>0</v>
      </c>
      <c r="CC119" s="129">
        <f>IF(H$5&lt;74,0,IF(K64="G",0,IF(K64="C",0,IF(K64="M",0,IF(K64="K",0,IF(AND(OR($H$10="FULL",$H$10="AUTO"),K64="D"),0,74))))))</f>
        <v>0</v>
      </c>
      <c r="CD119" s="128" t="str">
        <f>IF($H$10="NONE","ENTER CIRCUIT #74 LOAD IDENTIFIER  ( G, C, M, K )","ENTER CIRCUIT #74 LOAD IDENTIFIER  ( G, D, C, M, K )")</f>
        <v>ENTER CIRCUIT #74 LOAD IDENTIFIER  ( G, D, C, M, K )</v>
      </c>
      <c r="CE119" s="129">
        <f>IF(SUM(CE$83:CE118)=0,CF119,0)</f>
        <v>0</v>
      </c>
      <c r="CF119" s="129">
        <f>IF(H$5&lt;74,0,IF(ISBLANK(L64)=TRUE,74,IF(L64=" ",0,IF(L64="H",0,74))))</f>
        <v>0</v>
      </c>
      <c r="CG119" s="128" t="s">
        <v>354</v>
      </c>
      <c r="CH119" s="129">
        <f>IF(SUM(CH$83:CH118)=0,CI119,0)</f>
        <v>0</v>
      </c>
      <c r="CI119" s="132">
        <f>IF($H$5&lt;74,0,IF(ISBLANK($M64)=TRUE,74,IF($M64="N",0,IF($M64=" ",0,74))))</f>
        <v>0</v>
      </c>
      <c r="CJ119" s="128" t="s">
        <v>439</v>
      </c>
      <c r="CK119" s="128"/>
      <c r="CL119" s="128"/>
      <c r="CM119" s="128"/>
      <c r="CN119" s="128"/>
      <c r="CO119" s="128"/>
      <c r="CP119" s="128"/>
      <c r="CQ119" s="1"/>
      <c r="DB119" s="24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>
        <v>9</v>
      </c>
      <c r="EC119" s="22" t="s">
        <v>87</v>
      </c>
      <c r="EJ119" s="1" t="s">
        <v>556</v>
      </c>
      <c r="EK119" s="303" t="str">
        <f>EN107</f>
        <v>( 2 X 10' L X 0.5080 R X 57.9 A ÷ 1,000 X 0.866 )  = 0.5 VD</v>
      </c>
      <c r="EN119" s="1" t="s">
        <v>557</v>
      </c>
      <c r="EO119" s="1" t="str">
        <f>ES98</f>
        <v>( 0.5 VD ÷ 240 V X 100 ) = 0.2 % VD</v>
      </c>
    </row>
    <row r="120" spans="78:145" ht="14.1" hidden="1" customHeight="1">
      <c r="BZ120" s="136"/>
      <c r="CA120" s="128">
        <f t="shared" si="25"/>
        <v>76</v>
      </c>
      <c r="CB120" s="129">
        <f>IF(SUM(CB$83:CB119)=0,CC120,0)</f>
        <v>0</v>
      </c>
      <c r="CC120" s="129">
        <f>IF(H$5&lt;76,0,IF(K65="G",0,IF(K65="C",0,IF(K65="M",0,IF(K65="K",0,IF(AND(OR($H$10="FULL",$H$10="AUTO"),OR($H$8=1,$H$8="3Y"),K65="D"),0,76))))))</f>
        <v>0</v>
      </c>
      <c r="CD120" s="128" t="str">
        <f>IF($H$10="NONE","ENTER CIRCUIT #76 LOAD IDENTIFIER  ( G, C, M, K )",IF($H$8="3D","ENTER CIRCUIT #76 LOAD IDENTIFIER  ( G, C, M, K )","ENTER CIRCUIT #76 LOAD IDENTIFIER  ( G, D, C, M, K )"))</f>
        <v>ENTER CIRCUIT #76 LOAD IDENTIFIER  ( G, D, C, M, K )</v>
      </c>
      <c r="CE120" s="129">
        <f>IF(SUM(CE$83:CE119)=0,CF120,0)</f>
        <v>0</v>
      </c>
      <c r="CF120" s="129">
        <f>IF(H$5&lt;76,0,IF(ISBLANK(L65)=TRUE,76,IF(L65=" ",0,IF(L65="H",0,76))))</f>
        <v>0</v>
      </c>
      <c r="CG120" s="128" t="s">
        <v>355</v>
      </c>
      <c r="CH120" s="129">
        <f>IF(SUM(CH$83:CH119)=0,CI120,0)</f>
        <v>0</v>
      </c>
      <c r="CI120" s="132">
        <f>IF($H$5&lt;76,0,IF(ISBLANK($M65)=TRUE,76,IF($M65=" ",0,IF(AND($H$8&lt;&gt;"3D",$M65="N"),0,76))))</f>
        <v>0</v>
      </c>
      <c r="CJ120" s="128" t="str">
        <f>IF($H$8&lt;&gt;"3D","ENTER CIRCUIT #76 NEUTRAL IDENTIFIER  ( N or SPACE )","ENTER CIRCUIT #76 NEUTRAL IDENTIFIER  ( SPACE )")</f>
        <v>ENTER CIRCUIT #76 NEUTRAL IDENTIFIER  ( N or SPACE )</v>
      </c>
      <c r="CK120" s="128"/>
      <c r="CL120" s="128"/>
      <c r="CM120" s="128"/>
      <c r="CN120" s="128"/>
      <c r="CO120" s="128"/>
      <c r="CP120" s="128"/>
      <c r="CQ120" s="1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>
        <v>10</v>
      </c>
      <c r="EC120" s="22" t="s">
        <v>93</v>
      </c>
    </row>
    <row r="121" spans="78:145" ht="14.1" hidden="1" customHeight="1">
      <c r="BZ121" s="136"/>
      <c r="CA121" s="128">
        <f t="shared" si="25"/>
        <v>78</v>
      </c>
      <c r="CB121" s="129">
        <f>IF(SUM(CB$83:CB120)=0,CC121,0)</f>
        <v>0</v>
      </c>
      <c r="CC121" s="129">
        <f>IF(H$5&lt;78,0,IF(K66="G",0,IF(K66="C",0,IF(K66="M",0,IF(K66="K",0,IF(AND(OR($H$10="FULL",$H$10="AUTO"),K66="D"),0,78))))))</f>
        <v>0</v>
      </c>
      <c r="CD121" s="128" t="str">
        <f>IF($H$10="NONE","ENTER CIRCUIT #78 LOAD IDENTIFIER  ( G, C, M, K )","ENTER CIRCUIT #78 LOAD IDENTIFIER  ( G, D, C, M, K )")</f>
        <v>ENTER CIRCUIT #78 LOAD IDENTIFIER  ( G, D, C, M, K )</v>
      </c>
      <c r="CE121" s="129">
        <f>IF(SUM(CE$83:CE120)=0,CF121,0)</f>
        <v>0</v>
      </c>
      <c r="CF121" s="129">
        <f>IF(H$5&lt;78,0,IF(ISBLANK(L66)=TRUE,78,IF(L66=" ",0,IF(L66="H",0,78))))</f>
        <v>0</v>
      </c>
      <c r="CG121" s="128" t="s">
        <v>356</v>
      </c>
      <c r="CH121" s="129">
        <f>IF(SUM(CH$83:CH120)=0,CI121,0)</f>
        <v>0</v>
      </c>
      <c r="CI121" s="132">
        <f>IF($H$5&lt;78,0,IF(ISBLANK($M66)=TRUE,78,IF($M66="N",0,IF($M66=" ",0,78))))</f>
        <v>0</v>
      </c>
      <c r="CJ121" s="128" t="s">
        <v>440</v>
      </c>
      <c r="CK121" s="128"/>
      <c r="CL121" s="128"/>
      <c r="CM121" s="128"/>
      <c r="CN121" s="128"/>
      <c r="CO121" s="128"/>
      <c r="CP121" s="128"/>
      <c r="CQ121" s="1"/>
      <c r="DR121" s="22"/>
      <c r="DS121" s="22"/>
      <c r="DT121" s="22"/>
      <c r="DU121" s="22"/>
      <c r="DV121" s="22"/>
      <c r="DW121" s="22"/>
      <c r="DX121" s="22"/>
      <c r="DY121" s="22"/>
      <c r="EB121" s="22">
        <v>11</v>
      </c>
      <c r="EC121" s="22" t="s">
        <v>97</v>
      </c>
    </row>
    <row r="122" spans="78:145" ht="14.1" hidden="1" customHeight="1">
      <c r="BZ122" s="136"/>
      <c r="CA122" s="128">
        <f t="shared" si="25"/>
        <v>80</v>
      </c>
      <c r="CB122" s="129">
        <f>IF(SUM(CB$83:CB121)=0,CC122,0)</f>
        <v>0</v>
      </c>
      <c r="CC122" s="129">
        <f>IF(H$5&lt;80,0,IF(K67="G",0,IF(K67="C",0,IF(K67="M",0,IF(K67="K",0,IF(AND(OR($H$10="FULL",$H$10="AUTO"),K67="D"),0,80))))))</f>
        <v>0</v>
      </c>
      <c r="CD122" s="128" t="str">
        <f>IF($H$10="NONE","ENTER CIRCUIT #80 LOAD IDENTIFIER  ( G, C, M, K )","ENTER CIRCUIT #80 LOAD IDENTIFIER  ( G, D, C, M, K )")</f>
        <v>ENTER CIRCUIT #80 LOAD IDENTIFIER  ( G, D, C, M, K )</v>
      </c>
      <c r="CE122" s="129">
        <f>IF(SUM(CE$83:CE121)=0,CF122,0)</f>
        <v>0</v>
      </c>
      <c r="CF122" s="129">
        <f>IF(H$5&lt;80,0,IF(ISBLANK(L67)=TRUE,80,IF(L67=" ",0,IF(L67="H",0,80))))</f>
        <v>0</v>
      </c>
      <c r="CG122" s="128" t="s">
        <v>357</v>
      </c>
      <c r="CH122" s="129">
        <f>IF(SUM(CH$83:CH121)=0,CI122,0)</f>
        <v>0</v>
      </c>
      <c r="CI122" s="132">
        <f>IF($H$5&lt;80,0,IF(ISBLANK($M67)=TRUE,80,IF($M67="N",0,IF($M67=" ",0,80))))</f>
        <v>0</v>
      </c>
      <c r="CJ122" s="128" t="s">
        <v>441</v>
      </c>
      <c r="CK122" s="128"/>
      <c r="CL122" s="128"/>
      <c r="CM122" s="128"/>
      <c r="CN122" s="128"/>
      <c r="CO122" s="128"/>
      <c r="CP122" s="128"/>
      <c r="CQ122" s="1"/>
      <c r="DR122" s="22"/>
      <c r="DS122" s="22"/>
      <c r="DT122" s="22"/>
      <c r="DU122" s="22"/>
      <c r="DV122" s="22"/>
      <c r="DW122" s="22"/>
      <c r="EB122" s="22">
        <v>12</v>
      </c>
      <c r="EC122" s="22" t="s">
        <v>101</v>
      </c>
    </row>
    <row r="123" spans="78:145" ht="14.1" hidden="1" customHeight="1">
      <c r="BZ123" s="136"/>
      <c r="CA123" s="128">
        <f t="shared" si="25"/>
        <v>82</v>
      </c>
      <c r="CB123" s="129">
        <f>IF(SUM(CB$83:CB122)=0,CC123,0)</f>
        <v>0</v>
      </c>
      <c r="CC123" s="129">
        <f>IF(H$5&lt;82,0,IF(K68="G",0,IF(K68="C",0,IF(K68="M",0,IF(K68="K",0,IF(AND(OR($H$10="FULL",$H$10="AUTO"),OR($H$8=1,$H$8="3Y"),K68="D"),0,82))))))</f>
        <v>0</v>
      </c>
      <c r="CD123" s="128" t="str">
        <f>IF($H$10="NONE","ENTER CIRCUIT #82 LOAD IDENTIFIER  ( G, C, M, K )",IF($H$8="3D","ENTER CIRCUIT #82 LOAD IDENTIFIER  ( G, C, M, K )","ENTER CIRCUIT #82 LOAD IDENTIFIER  ( G, D, C, M, K )"))</f>
        <v>ENTER CIRCUIT #82 LOAD IDENTIFIER  ( G, D, C, M, K )</v>
      </c>
      <c r="CE123" s="129">
        <f>IF(SUM(CE$83:CE122)=0,CF123,0)</f>
        <v>0</v>
      </c>
      <c r="CF123" s="129">
        <f>IF(H$5&lt;82,0,IF(ISBLANK(L68)=TRUE,82,IF(L68=" ",0,IF(L68="H",0,82))))</f>
        <v>0</v>
      </c>
      <c r="CG123" s="128" t="s">
        <v>358</v>
      </c>
      <c r="CH123" s="129">
        <f>IF(SUM(CH$83:CH122)=0,CI123,0)</f>
        <v>0</v>
      </c>
      <c r="CI123" s="132">
        <f>IF($H$5&lt;82,0,IF(ISBLANK($M68)=TRUE,82,IF($M68=" ",0,IF(AND($H$8&lt;&gt;"3D",$M68="N"),0,82))))</f>
        <v>0</v>
      </c>
      <c r="CJ123" s="128" t="str">
        <f>IF($H$8&lt;&gt;"3D","ENTER CIRCUIT #82 NEUTRAL IDENTIFIER  ( N or SPACE )","ENTER CIRCUIT #82 NEUTRAL IDENTIFIER  ( SPACE )")</f>
        <v>ENTER CIRCUIT #82 NEUTRAL IDENTIFIER  ( N or SPACE )</v>
      </c>
      <c r="CK123" s="128"/>
      <c r="CL123" s="128"/>
      <c r="CM123" s="128"/>
      <c r="CN123" s="128"/>
      <c r="CO123" s="128"/>
      <c r="CP123" s="128"/>
      <c r="CQ123" s="1"/>
      <c r="DR123" s="22"/>
      <c r="DS123" s="22"/>
      <c r="DT123" s="22"/>
      <c r="DU123" s="22"/>
      <c r="DV123" s="22"/>
      <c r="DW123" s="22"/>
      <c r="EB123" s="22">
        <v>13</v>
      </c>
      <c r="EC123" s="22" t="s">
        <v>103</v>
      </c>
    </row>
    <row r="124" spans="78:145" ht="14.1" hidden="1" customHeight="1">
      <c r="BZ124" s="136"/>
      <c r="CA124" s="128">
        <f t="shared" si="25"/>
        <v>84</v>
      </c>
      <c r="CB124" s="129">
        <f>IF(SUM(CB$83:CB123)=0,CC124,0)</f>
        <v>0</v>
      </c>
      <c r="CC124" s="129">
        <f>IF(H$5&lt;84,0,IF(K69="G",0,IF(K69="C",0,IF(K69="M",0,IF(K69="K",0,IF(AND(OR($H$10="FULL",$H$10="AUTO"),K69="D"),0,84))))))</f>
        <v>0</v>
      </c>
      <c r="CD124" s="128" t="str">
        <f>IF($H$10="NONE","ENTER CIRCUIT #84 LOAD IDENTIFIER  ( G, C, M, K )","ENTER CIRCUIT #84 LOAD IDENTIFIER  ( G, D, C, M, K )")</f>
        <v>ENTER CIRCUIT #84 LOAD IDENTIFIER  ( G, D, C, M, K )</v>
      </c>
      <c r="CE124" s="129">
        <f>IF(SUM(CE$83:CE123)=0,CF124,0)</f>
        <v>0</v>
      </c>
      <c r="CF124" s="129">
        <f>IF(H$5&lt;84,0,IF(ISBLANK(L69)=TRUE,84,IF(L69=" ",0,IF(L69="H",0,84))))</f>
        <v>0</v>
      </c>
      <c r="CG124" s="128" t="s">
        <v>359</v>
      </c>
      <c r="CH124" s="129">
        <f>IF(SUM(CH$83:CH123)=0,CI124,0)</f>
        <v>0</v>
      </c>
      <c r="CI124" s="132">
        <f>IF($H$5&lt;84,0,IF(ISBLANK($M69)=TRUE,84,IF($M69="N",0,IF($M69=" ",0,84))))</f>
        <v>0</v>
      </c>
      <c r="CJ124" s="128" t="s">
        <v>442</v>
      </c>
      <c r="CK124" s="128"/>
      <c r="CL124" s="128"/>
      <c r="CM124" s="128"/>
      <c r="CN124" s="128"/>
      <c r="CO124" s="128"/>
      <c r="CP124" s="128"/>
      <c r="CQ124" s="1"/>
      <c r="DR124" s="22"/>
      <c r="DS124" s="22"/>
      <c r="DT124" s="22"/>
      <c r="DU124" s="22"/>
      <c r="DV124" s="22"/>
      <c r="DW124" s="22"/>
      <c r="EB124" s="22">
        <v>14</v>
      </c>
      <c r="EC124" s="22" t="s">
        <v>106</v>
      </c>
    </row>
    <row r="125" spans="78:145" ht="14.1" hidden="1" customHeight="1">
      <c r="BZ125" s="136">
        <f>CB125+CE125+CH125</f>
        <v>0</v>
      </c>
      <c r="CA125" s="138" t="str">
        <f>IF(CB125=0," ",VLOOKUP(CB125,CA83:CD124,4))</f>
        <v xml:space="preserve"> </v>
      </c>
      <c r="CB125" s="139">
        <f>IF(CC11&gt;0,0,IF(CC31&gt;0,0,IF(CC30&gt;0,0,SUM(CB83:CB124))))</f>
        <v>0</v>
      </c>
      <c r="CC125" s="136"/>
      <c r="CD125" s="136"/>
      <c r="CE125" s="228">
        <f>IF($H$8=1,0,IF($H$8="3D",0,SUM(CE83:CE124)))</f>
        <v>0</v>
      </c>
      <c r="CF125" s="136"/>
      <c r="CG125" s="136"/>
      <c r="CH125" s="228">
        <f>IF($H$10&lt;&gt;"AUTO",0,SUM(CH83:CH124))</f>
        <v>0</v>
      </c>
      <c r="CI125" s="136"/>
      <c r="CJ125" s="138" t="str">
        <f>IF(CH125=0," ",VLOOKUP(CH125,CA83:CJ124,10))</f>
        <v xml:space="preserve"> </v>
      </c>
      <c r="CK125" s="138"/>
      <c r="CL125" s="138"/>
      <c r="CM125" s="138"/>
      <c r="CN125" s="138"/>
      <c r="CO125" s="138"/>
      <c r="CP125" s="136"/>
      <c r="CQ125" s="1"/>
      <c r="DR125" s="22"/>
      <c r="DS125" s="22"/>
      <c r="DW125" s="22"/>
      <c r="EB125" s="22">
        <v>15</v>
      </c>
      <c r="EC125" s="22" t="s">
        <v>109</v>
      </c>
    </row>
    <row r="126" spans="78:145" ht="14.1" hidden="1" customHeight="1">
      <c r="BZ126" s="136"/>
      <c r="CA126" s="138" t="str">
        <f>IF(CE125=0," ",VLOOKUP(CE125,CA83:CG124,7))</f>
        <v xml:space="preserve"> </v>
      </c>
      <c r="CB126" s="138" t="str">
        <f>IF(CB125&gt;0,CA125,IF(CE125&gt;0,CA126,IF(CH125&gt;0,CJ125,"")))</f>
        <v/>
      </c>
      <c r="CC126" s="136"/>
      <c r="CD126" s="136"/>
      <c r="CE126" s="133"/>
      <c r="CF126" s="136"/>
      <c r="CG126" s="136"/>
      <c r="CH126" s="136"/>
      <c r="CI126" s="136"/>
      <c r="CJ126" s="136"/>
      <c r="CK126" s="136"/>
      <c r="CL126" s="136"/>
      <c r="CM126" s="136"/>
      <c r="CN126" s="136"/>
      <c r="CO126" s="136"/>
      <c r="CP126" s="136"/>
      <c r="CQ126" s="1"/>
      <c r="DR126" s="22"/>
      <c r="DS126" s="22"/>
      <c r="DW126" s="22"/>
      <c r="EB126" s="22">
        <v>16</v>
      </c>
      <c r="EC126" s="22" t="s">
        <v>112</v>
      </c>
    </row>
    <row r="127" spans="78:145" ht="14.1" hidden="1" customHeight="1">
      <c r="BZ127" s="136"/>
      <c r="CA127" s="138"/>
      <c r="CB127" s="138"/>
      <c r="CC127" s="136"/>
      <c r="CD127" s="136"/>
      <c r="CE127" s="136"/>
      <c r="CF127" s="136"/>
      <c r="CG127" s="136"/>
      <c r="CH127" s="136"/>
      <c r="CI127" s="136"/>
      <c r="CJ127" s="136"/>
      <c r="CK127" s="136"/>
      <c r="CL127" s="136"/>
      <c r="CM127" s="136"/>
      <c r="CN127" s="136"/>
      <c r="CO127" s="136"/>
      <c r="CP127" s="136"/>
      <c r="CQ127" s="1"/>
      <c r="DR127" s="22"/>
      <c r="DS127" s="22"/>
      <c r="DW127" s="22"/>
      <c r="EB127" s="22">
        <v>17</v>
      </c>
      <c r="EC127" s="22" t="s">
        <v>114</v>
      </c>
    </row>
    <row r="128" spans="78:145" ht="14.1" hidden="1" customHeight="1">
      <c r="BZ128" s="136"/>
      <c r="CA128" s="138"/>
      <c r="CB128" s="136" t="s">
        <v>191</v>
      </c>
      <c r="CC128" s="136"/>
      <c r="CD128" s="136"/>
      <c r="CE128" s="136"/>
      <c r="CF128" s="136"/>
      <c r="CG128" s="136"/>
      <c r="CH128" s="136"/>
      <c r="CI128" s="136"/>
      <c r="CJ128" s="136"/>
      <c r="CK128" s="136"/>
      <c r="CL128" s="136"/>
      <c r="CM128" s="136"/>
      <c r="CN128" s="136"/>
      <c r="CO128" s="136"/>
      <c r="CP128" s="136"/>
      <c r="CQ128" s="1"/>
      <c r="EB128" s="22">
        <v>18</v>
      </c>
      <c r="EC128" s="22" t="s">
        <v>116</v>
      </c>
    </row>
    <row r="129" spans="78:95" ht="14.1" hidden="1" customHeight="1">
      <c r="BZ129" s="136"/>
      <c r="CA129" s="138"/>
      <c r="CB129" s="136" t="s">
        <v>3</v>
      </c>
      <c r="CC129" s="136"/>
      <c r="CD129" s="136"/>
      <c r="CE129" s="136"/>
      <c r="CF129" s="136"/>
      <c r="CG129" s="136"/>
      <c r="CH129" s="136"/>
      <c r="CI129" s="136"/>
      <c r="CJ129" s="136"/>
      <c r="CK129" s="136"/>
      <c r="CL129" s="136"/>
      <c r="CM129" s="136"/>
      <c r="CN129" s="136"/>
      <c r="CO129" s="136"/>
      <c r="CP129" s="136"/>
      <c r="CQ129" s="1"/>
    </row>
    <row r="130" spans="78:95" ht="14.1" hidden="1" customHeight="1">
      <c r="BZ130" s="136"/>
      <c r="CA130" s="138"/>
      <c r="CB130" s="136" t="s">
        <v>192</v>
      </c>
      <c r="CC130" s="136"/>
      <c r="CD130" s="136"/>
      <c r="CE130" s="136"/>
      <c r="CF130" s="136"/>
      <c r="CG130" s="136"/>
      <c r="CH130" s="136"/>
      <c r="CI130" s="136"/>
      <c r="CJ130" s="136"/>
      <c r="CK130" s="136"/>
      <c r="CL130" s="136"/>
      <c r="CM130" s="136"/>
      <c r="CN130" s="136"/>
      <c r="CO130" s="136"/>
      <c r="CP130" s="136"/>
      <c r="CQ130" s="1"/>
    </row>
    <row r="131" spans="78:95" ht="14.1" hidden="1" customHeight="1">
      <c r="BZ131" s="136"/>
      <c r="CA131" s="138" t="s">
        <v>13</v>
      </c>
      <c r="CB131" s="136" t="str">
        <f>H14</f>
        <v>AL</v>
      </c>
      <c r="CQ131" s="1"/>
    </row>
    <row r="132" spans="78:95" ht="14.1" hidden="1" customHeight="1">
      <c r="BZ132" s="136"/>
      <c r="CA132" s="128" t="s">
        <v>398</v>
      </c>
      <c r="CB132" s="129">
        <f>IF(CB131="AL",0,IF(H13="THW-CA",1,0))</f>
        <v>0</v>
      </c>
      <c r="CQ132" s="1"/>
    </row>
    <row r="133" spans="78:95" ht="14.1" hidden="1" customHeight="1">
      <c r="BZ133" s="136"/>
      <c r="CA133" s="128" t="s">
        <v>164</v>
      </c>
      <c r="CB133" s="129">
        <f>IF(CB131="AL",0,IF(H13="THHN-CA",1,0))</f>
        <v>0</v>
      </c>
      <c r="CQ133" s="1"/>
    </row>
    <row r="134" spans="78:95" ht="14.1" hidden="1" customHeight="1">
      <c r="BZ134" s="136"/>
      <c r="CA134" s="128" t="s">
        <v>165</v>
      </c>
      <c r="CB134" s="129">
        <f>IF(CB131="AL",0,IF(H13="XHHW-CA",1,0))</f>
        <v>0</v>
      </c>
      <c r="CQ134" s="1"/>
    </row>
    <row r="135" spans="78:95" ht="14.1" hidden="1" customHeight="1">
      <c r="BZ135" s="136"/>
      <c r="CB135" s="129">
        <f>SUM(CB132:CB134)</f>
        <v>0</v>
      </c>
      <c r="CQ135" s="1"/>
    </row>
    <row r="136" spans="78:95" ht="14.1" hidden="1" customHeight="1">
      <c r="BZ136" s="136"/>
      <c r="CQ136" s="1"/>
    </row>
    <row r="137" spans="78:95" ht="14.1" hidden="1" customHeight="1">
      <c r="BZ137" s="136"/>
      <c r="CQ137" s="1"/>
    </row>
    <row r="138" spans="78:95" ht="14.1" hidden="1" customHeight="1">
      <c r="BZ138" s="136"/>
      <c r="CQ138" s="1"/>
    </row>
    <row r="139" spans="78:95" ht="14.1" hidden="1" customHeight="1">
      <c r="BZ139" s="136"/>
      <c r="CQ139" s="1"/>
    </row>
    <row r="140" spans="78:95" ht="14.1" hidden="1" customHeight="1">
      <c r="BZ140" s="136"/>
      <c r="CQ140" s="1"/>
    </row>
    <row r="141" spans="78:95" ht="14.1" hidden="1" customHeight="1">
      <c r="BZ141" s="136"/>
      <c r="CQ141" s="1"/>
    </row>
    <row r="142" spans="78:95" ht="14.1" hidden="1" customHeight="1">
      <c r="BZ142" s="136"/>
      <c r="CQ142" s="1"/>
    </row>
    <row r="143" spans="78:95" ht="14.1" hidden="1" customHeight="1">
      <c r="BZ143" s="136"/>
      <c r="CQ143" s="1"/>
    </row>
    <row r="144" spans="78:95" ht="14.1" hidden="1" customHeight="1">
      <c r="BZ144" s="136"/>
      <c r="CQ144" s="1"/>
    </row>
    <row r="145" spans="78:95" ht="14.1" hidden="1" customHeight="1">
      <c r="BZ145" s="136"/>
      <c r="CQ145" s="1"/>
    </row>
    <row r="146" spans="78:95" ht="14.1" hidden="1" customHeight="1">
      <c r="BZ146" s="136"/>
      <c r="CQ146" s="1"/>
    </row>
    <row r="147" spans="78:95" ht="14.1" hidden="1" customHeight="1">
      <c r="BZ147" s="136"/>
      <c r="CQ147" s="1"/>
    </row>
    <row r="148" spans="78:95" ht="14.1" hidden="1" customHeight="1">
      <c r="BZ148" s="136"/>
      <c r="CQ148" s="1"/>
    </row>
    <row r="149" spans="78:95" ht="14.1" hidden="1" customHeight="1">
      <c r="BZ149" s="136"/>
      <c r="CQ149" s="1"/>
    </row>
    <row r="150" spans="78:95" ht="14.1" hidden="1" customHeight="1">
      <c r="BZ150" s="136"/>
      <c r="CQ150" s="1"/>
    </row>
    <row r="151" spans="78:95" ht="14.1" hidden="1" customHeight="1">
      <c r="BZ151" s="136"/>
      <c r="CQ151" s="1"/>
    </row>
    <row r="152" spans="78:95" ht="14.1" hidden="1" customHeight="1">
      <c r="BZ152" s="136"/>
      <c r="CQ152" s="1"/>
    </row>
    <row r="153" spans="78:95" ht="14.1" hidden="1" customHeight="1">
      <c r="BZ153" s="136"/>
      <c r="CQ153" s="1"/>
    </row>
    <row r="154" spans="78:95" ht="14.1" hidden="1" customHeight="1">
      <c r="BZ154" s="136"/>
      <c r="CA154" s="127"/>
      <c r="CB154" s="127"/>
      <c r="CC154" s="127"/>
      <c r="CF154" s="133"/>
      <c r="CG154" s="133"/>
      <c r="CH154" s="132"/>
      <c r="CI154" s="132"/>
      <c r="CJ154" s="133"/>
      <c r="CK154" s="133"/>
      <c r="CL154" s="133"/>
      <c r="CM154" s="133"/>
      <c r="CN154" s="133"/>
      <c r="CO154" s="133"/>
      <c r="CP154" s="133"/>
      <c r="CQ154" s="1"/>
    </row>
    <row r="155" spans="78:95" ht="14.1" hidden="1" customHeight="1">
      <c r="BZ155" s="136"/>
      <c r="CA155" s="127"/>
      <c r="CB155" s="127"/>
      <c r="CC155" s="127"/>
      <c r="CF155" s="133"/>
      <c r="CG155" s="133"/>
      <c r="CH155" s="132"/>
      <c r="CI155" s="132"/>
      <c r="CJ155" s="133"/>
      <c r="CK155" s="133"/>
      <c r="CL155" s="133"/>
      <c r="CM155" s="133"/>
      <c r="CN155" s="133"/>
      <c r="CO155" s="133"/>
      <c r="CP155" s="133"/>
      <c r="CQ155" s="1"/>
    </row>
    <row r="156" spans="78:95" ht="14.1" hidden="1" customHeight="1">
      <c r="BZ156" s="136"/>
      <c r="CA156" s="127"/>
      <c r="CB156" s="127"/>
      <c r="CC156" s="127"/>
      <c r="CF156" s="133"/>
      <c r="CG156" s="133"/>
      <c r="CH156" s="132"/>
      <c r="CI156" s="132"/>
      <c r="CJ156" s="133"/>
      <c r="CK156" s="133"/>
      <c r="CL156" s="133"/>
      <c r="CM156" s="133"/>
      <c r="CN156" s="133"/>
      <c r="CO156" s="133"/>
      <c r="CP156" s="133"/>
      <c r="CQ156" s="1"/>
    </row>
    <row r="157" spans="78:95" ht="14.1" hidden="1" customHeight="1">
      <c r="BZ157" s="136"/>
      <c r="CA157" s="127"/>
      <c r="CB157" s="127"/>
      <c r="CC157" s="127"/>
      <c r="CF157" s="133"/>
      <c r="CG157" s="133"/>
      <c r="CH157" s="132"/>
      <c r="CI157" s="132"/>
      <c r="CJ157" s="133"/>
      <c r="CK157" s="133"/>
      <c r="CL157" s="133"/>
      <c r="CM157" s="133"/>
      <c r="CN157" s="133"/>
      <c r="CO157" s="133"/>
      <c r="CP157" s="133"/>
      <c r="CQ157" s="1"/>
    </row>
    <row r="158" spans="78:95" ht="14.1" hidden="1" customHeight="1">
      <c r="BZ158" s="136"/>
      <c r="CA158" s="127"/>
      <c r="CB158" s="127"/>
      <c r="CC158" s="127"/>
      <c r="CF158" s="133"/>
      <c r="CG158" s="133"/>
      <c r="CH158" s="132"/>
      <c r="CI158" s="132"/>
      <c r="CJ158" s="133"/>
      <c r="CK158" s="133"/>
      <c r="CL158" s="133"/>
      <c r="CM158" s="133"/>
      <c r="CN158" s="133"/>
      <c r="CO158" s="133"/>
      <c r="CP158" s="133"/>
      <c r="CQ158" s="1"/>
    </row>
    <row r="159" spans="78:95" ht="14.1" hidden="1" customHeight="1">
      <c r="BZ159" s="136"/>
      <c r="CA159" s="127"/>
      <c r="CB159" s="127"/>
      <c r="CC159" s="127"/>
      <c r="CF159" s="133"/>
      <c r="CG159" s="133"/>
      <c r="CH159" s="132"/>
      <c r="CI159" s="132"/>
      <c r="CJ159" s="133"/>
      <c r="CK159" s="133"/>
      <c r="CL159" s="133"/>
      <c r="CM159" s="133"/>
      <c r="CN159" s="133"/>
      <c r="CO159" s="133"/>
      <c r="CP159" s="133"/>
      <c r="CQ159" s="1"/>
    </row>
    <row r="160" spans="78:95" ht="14.1" hidden="1" customHeight="1">
      <c r="BZ160" s="136"/>
      <c r="CA160" s="127"/>
      <c r="CB160" s="127"/>
      <c r="CC160" s="127"/>
      <c r="CF160" s="133"/>
      <c r="CG160" s="133"/>
      <c r="CH160" s="132"/>
      <c r="CI160" s="132"/>
      <c r="CJ160" s="133"/>
      <c r="CK160" s="133"/>
      <c r="CL160" s="133"/>
      <c r="CM160" s="133"/>
      <c r="CN160" s="133"/>
      <c r="CO160" s="133"/>
      <c r="CP160" s="133"/>
      <c r="CQ160" s="1"/>
    </row>
    <row r="161" spans="78:95" ht="14.1" hidden="1" customHeight="1">
      <c r="BZ161" s="136"/>
      <c r="CA161" s="127"/>
      <c r="CB161" s="127"/>
      <c r="CC161" s="127"/>
      <c r="CF161" s="133"/>
      <c r="CG161" s="133"/>
      <c r="CH161" s="132"/>
      <c r="CI161" s="132"/>
      <c r="CJ161" s="133"/>
      <c r="CK161" s="133"/>
      <c r="CL161" s="133"/>
      <c r="CM161" s="133"/>
      <c r="CN161" s="133"/>
      <c r="CO161" s="133"/>
      <c r="CP161" s="133"/>
      <c r="CQ161" s="1"/>
    </row>
    <row r="162" spans="78:95" ht="14.1" hidden="1" customHeight="1">
      <c r="BZ162" s="136"/>
      <c r="CA162" s="127"/>
      <c r="CB162" s="127"/>
      <c r="CC162" s="127"/>
      <c r="CF162" s="133"/>
      <c r="CG162" s="133"/>
      <c r="CH162" s="132"/>
      <c r="CI162" s="132"/>
      <c r="CJ162" s="133"/>
      <c r="CK162" s="133"/>
      <c r="CL162" s="133"/>
      <c r="CM162" s="133"/>
      <c r="CN162" s="133"/>
      <c r="CO162" s="133"/>
      <c r="CP162" s="133"/>
      <c r="CQ162" s="1"/>
    </row>
    <row r="163" spans="78:95" ht="14.1" hidden="1" customHeight="1">
      <c r="CA163" s="127"/>
      <c r="CB163" s="127"/>
      <c r="CC163" s="127"/>
      <c r="CF163" s="133"/>
      <c r="CG163" s="133"/>
      <c r="CH163" s="132"/>
      <c r="CI163" s="132"/>
      <c r="CJ163" s="133"/>
      <c r="CK163" s="133"/>
      <c r="CL163" s="133"/>
      <c r="CM163" s="133"/>
      <c r="CN163" s="133"/>
      <c r="CO163" s="133"/>
      <c r="CP163" s="133"/>
      <c r="CQ163" s="1"/>
    </row>
    <row r="164" spans="78:95" ht="14.1" hidden="1" customHeight="1">
      <c r="CA164" s="127"/>
      <c r="CB164" s="127"/>
      <c r="CC164" s="127"/>
      <c r="CF164" s="133"/>
      <c r="CG164" s="133"/>
      <c r="CH164" s="132"/>
      <c r="CI164" s="132"/>
      <c r="CJ164" s="133"/>
      <c r="CK164" s="133"/>
      <c r="CL164" s="133"/>
      <c r="CM164" s="133"/>
      <c r="CN164" s="133"/>
      <c r="CO164" s="133"/>
      <c r="CP164" s="133"/>
      <c r="CQ164" s="1"/>
    </row>
    <row r="165" spans="78:95" ht="14.1" hidden="1" customHeight="1">
      <c r="CA165" s="127"/>
      <c r="CB165" s="127"/>
      <c r="CC165" s="127"/>
      <c r="CF165" s="133"/>
      <c r="CG165" s="133"/>
      <c r="CH165" s="132"/>
      <c r="CI165" s="132"/>
      <c r="CJ165" s="133"/>
      <c r="CK165" s="133"/>
      <c r="CL165" s="133"/>
      <c r="CM165" s="133"/>
      <c r="CN165" s="133"/>
      <c r="CO165" s="133"/>
      <c r="CP165" s="133"/>
      <c r="CQ165" s="1"/>
    </row>
    <row r="166" spans="78:95" ht="14.1" hidden="1" customHeight="1">
      <c r="CA166" s="127"/>
      <c r="CB166" s="127"/>
      <c r="CC166" s="127"/>
      <c r="CF166" s="133"/>
      <c r="CG166" s="133"/>
      <c r="CH166" s="132"/>
      <c r="CI166" s="132"/>
      <c r="CJ166" s="133"/>
      <c r="CK166" s="133"/>
      <c r="CL166" s="133"/>
      <c r="CM166" s="133"/>
      <c r="CN166" s="133"/>
      <c r="CO166" s="133"/>
      <c r="CP166" s="133"/>
      <c r="CQ166" s="1"/>
    </row>
    <row r="167" spans="78:95" ht="14.1" hidden="1" customHeight="1">
      <c r="CA167" s="127"/>
      <c r="CB167" s="127"/>
      <c r="CC167" s="127"/>
      <c r="CF167" s="133"/>
      <c r="CG167" s="133"/>
      <c r="CH167" s="132"/>
      <c r="CI167" s="132"/>
      <c r="CJ167" s="133"/>
      <c r="CK167" s="133"/>
      <c r="CL167" s="133"/>
      <c r="CM167" s="133"/>
      <c r="CN167" s="133"/>
      <c r="CO167" s="133"/>
      <c r="CP167" s="133"/>
      <c r="CQ167" s="1"/>
    </row>
    <row r="168" spans="78:95" ht="14.1" hidden="1" customHeight="1">
      <c r="CA168" s="127"/>
      <c r="CB168" s="127"/>
      <c r="CC168" s="127"/>
      <c r="CF168" s="133"/>
      <c r="CG168" s="133"/>
      <c r="CH168" s="132"/>
      <c r="CI168" s="132"/>
      <c r="CJ168" s="133"/>
      <c r="CK168" s="133"/>
      <c r="CL168" s="133"/>
      <c r="CM168" s="133"/>
      <c r="CN168" s="133"/>
      <c r="CO168" s="133"/>
      <c r="CP168" s="133"/>
      <c r="CQ168" s="1"/>
    </row>
    <row r="169" spans="78:95" ht="14.1" hidden="1" customHeight="1">
      <c r="CA169" s="127"/>
      <c r="CB169" s="127"/>
      <c r="CC169" s="127"/>
      <c r="CF169" s="133"/>
      <c r="CG169" s="133"/>
      <c r="CH169" s="132"/>
      <c r="CI169" s="132"/>
      <c r="CJ169" s="133"/>
      <c r="CK169" s="133"/>
      <c r="CL169" s="133"/>
      <c r="CM169" s="133"/>
      <c r="CN169" s="133"/>
      <c r="CO169" s="133"/>
      <c r="CP169" s="133"/>
      <c r="CQ169" s="1"/>
    </row>
    <row r="170" spans="78:95" ht="14.1" hidden="1" customHeight="1">
      <c r="CA170" s="127"/>
      <c r="CB170" s="127"/>
      <c r="CC170" s="127"/>
      <c r="CF170" s="133"/>
      <c r="CG170" s="133"/>
      <c r="CH170" s="132"/>
      <c r="CI170" s="132"/>
      <c r="CJ170" s="133"/>
      <c r="CK170" s="133"/>
      <c r="CL170" s="133"/>
      <c r="CM170" s="133"/>
      <c r="CN170" s="133"/>
      <c r="CO170" s="133"/>
      <c r="CP170" s="133"/>
      <c r="CQ170" s="1"/>
    </row>
    <row r="171" spans="78:95" ht="14.1" hidden="1" customHeight="1">
      <c r="CA171" s="127"/>
      <c r="CB171" s="127"/>
      <c r="CC171" s="127"/>
      <c r="CF171" s="133"/>
      <c r="CG171" s="133"/>
      <c r="CH171" s="132"/>
      <c r="CI171" s="132"/>
      <c r="CJ171" s="133"/>
      <c r="CK171" s="133"/>
      <c r="CL171" s="133"/>
      <c r="CM171" s="133"/>
      <c r="CN171" s="133"/>
      <c r="CO171" s="133"/>
      <c r="CP171" s="133"/>
      <c r="CQ171" s="1"/>
    </row>
    <row r="172" spans="78:95" ht="14.1" hidden="1" customHeight="1">
      <c r="CA172" s="127"/>
      <c r="CB172" s="127"/>
      <c r="CC172" s="127"/>
      <c r="CF172" s="133"/>
      <c r="CG172" s="133"/>
      <c r="CH172" s="132"/>
      <c r="CI172" s="132"/>
      <c r="CJ172" s="133"/>
      <c r="CK172" s="133"/>
      <c r="CL172" s="133"/>
      <c r="CM172" s="133"/>
      <c r="CN172" s="133"/>
      <c r="CO172" s="133"/>
      <c r="CP172" s="133"/>
      <c r="CQ172" s="1"/>
    </row>
    <row r="173" spans="78:95" ht="14.1" hidden="1" customHeight="1">
      <c r="CA173" s="127"/>
      <c r="CB173" s="127"/>
      <c r="CC173" s="127"/>
      <c r="CF173" s="133"/>
      <c r="CG173" s="133"/>
      <c r="CH173" s="132"/>
      <c r="CI173" s="132"/>
      <c r="CJ173" s="133"/>
      <c r="CK173" s="133"/>
      <c r="CL173" s="133"/>
      <c r="CM173" s="133"/>
      <c r="CN173" s="133"/>
      <c r="CO173" s="133"/>
      <c r="CP173" s="133"/>
      <c r="CQ173" s="1"/>
    </row>
    <row r="174" spans="78:95" ht="14.1" hidden="1" customHeight="1">
      <c r="CA174" s="127"/>
      <c r="CB174" s="127"/>
      <c r="CC174" s="127"/>
      <c r="CF174" s="133"/>
      <c r="CG174" s="133"/>
      <c r="CH174" s="132"/>
      <c r="CI174" s="132"/>
      <c r="CJ174" s="133"/>
      <c r="CK174" s="133"/>
      <c r="CL174" s="133"/>
      <c r="CM174" s="133"/>
      <c r="CN174" s="133"/>
      <c r="CO174" s="133"/>
      <c r="CP174" s="133"/>
      <c r="CQ174" s="1"/>
    </row>
    <row r="175" spans="78:95" ht="14.1" hidden="1" customHeight="1">
      <c r="CA175" s="127"/>
      <c r="CB175" s="127"/>
      <c r="CC175" s="127"/>
      <c r="CF175" s="133"/>
      <c r="CG175" s="133"/>
      <c r="CH175" s="132"/>
      <c r="CI175" s="132"/>
      <c r="CJ175" s="133"/>
      <c r="CK175" s="133"/>
      <c r="CL175" s="133"/>
      <c r="CM175" s="133"/>
      <c r="CN175" s="133"/>
      <c r="CO175" s="133"/>
      <c r="CP175" s="133"/>
      <c r="CQ175" s="1"/>
    </row>
    <row r="176" spans="78:95" ht="14.1" hidden="1" customHeight="1">
      <c r="CA176" s="127"/>
      <c r="CB176" s="127"/>
      <c r="CC176" s="127"/>
      <c r="CF176" s="133"/>
      <c r="CG176" s="133"/>
      <c r="CH176" s="132"/>
      <c r="CI176" s="132"/>
      <c r="CJ176" s="133"/>
      <c r="CK176" s="133"/>
      <c r="CL176" s="133"/>
      <c r="CM176" s="133"/>
      <c r="CN176" s="133"/>
      <c r="CO176" s="133"/>
      <c r="CP176" s="133"/>
      <c r="CQ176" s="1"/>
    </row>
    <row r="177" spans="79:95" ht="14.1" hidden="1" customHeight="1">
      <c r="CA177" s="127"/>
      <c r="CB177" s="127"/>
      <c r="CC177" s="127"/>
      <c r="CF177" s="133"/>
      <c r="CG177" s="133"/>
      <c r="CH177" s="132"/>
      <c r="CI177" s="132"/>
      <c r="CJ177" s="133"/>
      <c r="CK177" s="133"/>
      <c r="CL177" s="133"/>
      <c r="CM177" s="133"/>
      <c r="CN177" s="133"/>
      <c r="CO177" s="133"/>
      <c r="CP177" s="133"/>
      <c r="CQ177" s="1"/>
    </row>
    <row r="178" spans="79:95" ht="14.1" hidden="1" customHeight="1">
      <c r="CA178" s="127"/>
      <c r="CB178" s="127"/>
      <c r="CC178" s="127"/>
      <c r="CF178" s="133"/>
      <c r="CG178" s="133"/>
      <c r="CH178" s="132"/>
      <c r="CI178" s="132"/>
      <c r="CJ178" s="133"/>
      <c r="CK178" s="133"/>
      <c r="CL178" s="133"/>
      <c r="CM178" s="133"/>
      <c r="CN178" s="133"/>
      <c r="CO178" s="133"/>
      <c r="CP178" s="133"/>
      <c r="CQ178" s="1"/>
    </row>
    <row r="179" spans="79:95" ht="14.1" hidden="1" customHeight="1">
      <c r="CA179" s="127"/>
      <c r="CB179" s="127"/>
      <c r="CC179" s="127"/>
      <c r="CF179" s="133"/>
      <c r="CG179" s="133"/>
      <c r="CH179" s="132"/>
      <c r="CI179" s="132"/>
      <c r="CJ179" s="133"/>
      <c r="CK179" s="133"/>
      <c r="CL179" s="133"/>
      <c r="CM179" s="133"/>
      <c r="CN179" s="133"/>
      <c r="CO179" s="133"/>
      <c r="CP179" s="133"/>
      <c r="CQ179" s="1"/>
    </row>
    <row r="180" spans="79:95" ht="14.1" hidden="1" customHeight="1">
      <c r="CA180" s="127"/>
      <c r="CB180" s="127"/>
      <c r="CC180" s="127"/>
      <c r="CF180" s="133"/>
      <c r="CG180" s="133"/>
      <c r="CH180" s="132"/>
      <c r="CI180" s="132"/>
      <c r="CJ180" s="133"/>
      <c r="CK180" s="133"/>
      <c r="CL180" s="133"/>
      <c r="CM180" s="133"/>
      <c r="CN180" s="133"/>
      <c r="CO180" s="133"/>
      <c r="CP180" s="133"/>
      <c r="CQ180" s="1"/>
    </row>
    <row r="181" spans="79:95" ht="14.1" hidden="1" customHeight="1">
      <c r="CA181" s="127"/>
      <c r="CB181" s="127"/>
      <c r="CC181" s="127"/>
      <c r="CF181" s="133"/>
      <c r="CG181" s="133"/>
      <c r="CH181" s="132"/>
      <c r="CI181" s="132"/>
      <c r="CJ181" s="133"/>
      <c r="CK181" s="133"/>
      <c r="CL181" s="133"/>
      <c r="CM181" s="133"/>
      <c r="CN181" s="133"/>
      <c r="CO181" s="133"/>
      <c r="CP181" s="133"/>
      <c r="CQ181" s="1"/>
    </row>
    <row r="182" spans="79:95" ht="14.1" hidden="1" customHeight="1">
      <c r="CA182" s="127"/>
      <c r="CB182" s="127"/>
      <c r="CC182" s="127"/>
      <c r="CF182" s="133"/>
      <c r="CG182" s="133"/>
      <c r="CH182" s="132"/>
      <c r="CI182" s="132"/>
      <c r="CJ182" s="133"/>
      <c r="CK182" s="133"/>
      <c r="CL182" s="133"/>
      <c r="CM182" s="133"/>
      <c r="CN182" s="133"/>
      <c r="CO182" s="133"/>
      <c r="CP182" s="133"/>
      <c r="CQ182" s="1"/>
    </row>
    <row r="183" spans="79:95" ht="14.1" hidden="1" customHeight="1">
      <c r="CA183" s="127"/>
      <c r="CB183" s="127"/>
      <c r="CC183" s="127"/>
      <c r="CF183" s="133"/>
      <c r="CG183" s="133"/>
      <c r="CH183" s="132"/>
      <c r="CI183" s="132"/>
      <c r="CJ183" s="133"/>
      <c r="CK183" s="133"/>
      <c r="CL183" s="133"/>
      <c r="CM183" s="133"/>
      <c r="CN183" s="133"/>
      <c r="CO183" s="133"/>
      <c r="CP183" s="133"/>
      <c r="CQ183" s="1"/>
    </row>
    <row r="184" spans="79:95" ht="14.1" hidden="1" customHeight="1">
      <c r="CA184" s="127"/>
      <c r="CB184" s="127"/>
      <c r="CC184" s="127"/>
      <c r="CF184" s="133"/>
      <c r="CG184" s="133"/>
      <c r="CH184" s="132"/>
      <c r="CI184" s="132"/>
      <c r="CJ184" s="133"/>
      <c r="CK184" s="133"/>
      <c r="CL184" s="133"/>
      <c r="CM184" s="133"/>
      <c r="CN184" s="133"/>
      <c r="CO184" s="133"/>
      <c r="CP184" s="133"/>
      <c r="CQ184" s="1"/>
    </row>
    <row r="185" spans="79:95" ht="14.1" hidden="1" customHeight="1">
      <c r="CA185" s="127"/>
      <c r="CB185" s="127"/>
      <c r="CC185" s="127"/>
      <c r="CF185" s="133"/>
      <c r="CG185" s="133"/>
      <c r="CH185" s="132"/>
      <c r="CI185" s="132"/>
      <c r="CJ185" s="133"/>
      <c r="CK185" s="133"/>
      <c r="CL185" s="133"/>
      <c r="CM185" s="133"/>
      <c r="CN185" s="133"/>
      <c r="CO185" s="133"/>
      <c r="CP185" s="133"/>
      <c r="CQ185" s="1"/>
    </row>
    <row r="186" spans="79:95" ht="14.1" hidden="1" customHeight="1">
      <c r="CA186" s="127"/>
      <c r="CB186" s="127"/>
      <c r="CC186" s="127"/>
      <c r="CF186" s="133"/>
      <c r="CG186" s="133"/>
      <c r="CH186" s="132"/>
      <c r="CI186" s="132"/>
      <c r="CJ186" s="133"/>
      <c r="CK186" s="133"/>
      <c r="CL186" s="133"/>
      <c r="CM186" s="133"/>
      <c r="CN186" s="133"/>
      <c r="CO186" s="133"/>
      <c r="CP186" s="133"/>
      <c r="CQ186" s="1"/>
    </row>
    <row r="187" spans="79:95" ht="14.1" hidden="1" customHeight="1">
      <c r="CA187" s="127"/>
      <c r="CB187" s="127"/>
      <c r="CC187" s="127"/>
      <c r="CF187" s="133"/>
      <c r="CG187" s="133"/>
      <c r="CH187" s="132"/>
      <c r="CI187" s="132"/>
      <c r="CJ187" s="133"/>
      <c r="CK187" s="133"/>
      <c r="CL187" s="133"/>
      <c r="CM187" s="133"/>
      <c r="CN187" s="133"/>
      <c r="CO187" s="133"/>
      <c r="CP187" s="133"/>
      <c r="CQ187" s="1"/>
    </row>
    <row r="188" spans="79:95" ht="14.1" hidden="1" customHeight="1">
      <c r="CA188" s="127"/>
      <c r="CB188" s="127"/>
      <c r="CC188" s="127"/>
      <c r="CF188" s="133"/>
      <c r="CG188" s="133"/>
      <c r="CH188" s="132"/>
      <c r="CI188" s="132"/>
      <c r="CJ188" s="133"/>
      <c r="CK188" s="133"/>
      <c r="CL188" s="133"/>
      <c r="CM188" s="133"/>
      <c r="CN188" s="133"/>
      <c r="CO188" s="133"/>
      <c r="CP188" s="133"/>
      <c r="CQ188" s="1"/>
    </row>
    <row r="189" spans="79:95" ht="14.1" hidden="1" customHeight="1">
      <c r="CA189" s="127"/>
      <c r="CB189" s="127"/>
      <c r="CC189" s="127"/>
      <c r="CF189" s="133"/>
      <c r="CG189" s="133"/>
      <c r="CH189" s="132"/>
      <c r="CI189" s="132"/>
      <c r="CJ189" s="133"/>
      <c r="CK189" s="133"/>
      <c r="CL189" s="133"/>
      <c r="CM189" s="133"/>
      <c r="CN189" s="133"/>
      <c r="CO189" s="133"/>
      <c r="CP189" s="133"/>
      <c r="CQ189" s="1"/>
    </row>
    <row r="190" spans="79:95" ht="14.1" hidden="1" customHeight="1">
      <c r="CA190" s="127"/>
      <c r="CB190" s="127"/>
      <c r="CC190" s="127"/>
      <c r="CF190" s="133"/>
      <c r="CG190" s="133"/>
      <c r="CH190" s="132"/>
      <c r="CI190" s="132"/>
      <c r="CJ190" s="133"/>
      <c r="CK190" s="133"/>
      <c r="CL190" s="133"/>
      <c r="CM190" s="133"/>
      <c r="CN190" s="133"/>
      <c r="CO190" s="133"/>
      <c r="CP190" s="133"/>
      <c r="CQ190" s="1"/>
    </row>
    <row r="191" spans="79:95" ht="14.1" hidden="1" customHeight="1">
      <c r="CA191" s="127"/>
      <c r="CB191" s="127"/>
      <c r="CC191" s="127"/>
      <c r="CF191" s="133"/>
      <c r="CG191" s="133"/>
      <c r="CH191" s="132"/>
      <c r="CI191" s="132"/>
      <c r="CJ191" s="133"/>
      <c r="CK191" s="133"/>
      <c r="CL191" s="133"/>
      <c r="CM191" s="133"/>
      <c r="CN191" s="133"/>
      <c r="CO191" s="133"/>
      <c r="CP191" s="133"/>
      <c r="CQ191" s="1"/>
    </row>
    <row r="192" spans="79:95" ht="14.1" hidden="1" customHeight="1">
      <c r="CA192" s="127"/>
      <c r="CB192" s="127"/>
      <c r="CC192" s="127"/>
      <c r="CF192" s="133"/>
      <c r="CG192" s="133"/>
      <c r="CH192" s="132"/>
      <c r="CI192" s="132"/>
      <c r="CJ192" s="133"/>
      <c r="CK192" s="133"/>
      <c r="CL192" s="133"/>
      <c r="CM192" s="133"/>
      <c r="CN192" s="133"/>
      <c r="CO192" s="133"/>
      <c r="CP192" s="133"/>
      <c r="CQ192" s="1"/>
    </row>
    <row r="193" spans="79:95" ht="14.1" hidden="1" customHeight="1">
      <c r="CA193" s="127"/>
      <c r="CB193" s="127"/>
      <c r="CC193" s="127"/>
      <c r="CF193" s="133"/>
      <c r="CG193" s="133"/>
      <c r="CH193" s="132"/>
      <c r="CI193" s="132"/>
      <c r="CJ193" s="133"/>
      <c r="CK193" s="133"/>
      <c r="CL193" s="133"/>
      <c r="CM193" s="133"/>
      <c r="CN193" s="133"/>
      <c r="CO193" s="133"/>
      <c r="CP193" s="133"/>
      <c r="CQ193" s="1"/>
    </row>
    <row r="194" spans="79:95" ht="14.1" hidden="1" customHeight="1">
      <c r="CA194" s="127"/>
      <c r="CB194" s="127"/>
      <c r="CC194" s="127"/>
      <c r="CF194" s="133"/>
      <c r="CG194" s="133"/>
      <c r="CH194" s="132"/>
      <c r="CI194" s="132"/>
      <c r="CJ194" s="133"/>
      <c r="CK194" s="133"/>
      <c r="CL194" s="133"/>
      <c r="CM194" s="133"/>
      <c r="CN194" s="133"/>
      <c r="CO194" s="133"/>
      <c r="CP194" s="133"/>
      <c r="CQ194" s="1"/>
    </row>
    <row r="195" spans="79:95" ht="14.1" hidden="1" customHeight="1">
      <c r="CA195" s="127"/>
      <c r="CB195" s="127"/>
      <c r="CC195" s="127"/>
      <c r="CF195" s="133"/>
      <c r="CG195" s="133"/>
      <c r="CH195" s="132"/>
      <c r="CI195" s="132"/>
      <c r="CJ195" s="133"/>
      <c r="CK195" s="133"/>
      <c r="CL195" s="133"/>
      <c r="CM195" s="133"/>
      <c r="CN195" s="133"/>
      <c r="CO195" s="133"/>
      <c r="CP195" s="133"/>
      <c r="CQ195" s="1"/>
    </row>
    <row r="196" spans="79:95" ht="14.1" hidden="1" customHeight="1">
      <c r="CA196" s="127"/>
      <c r="CB196" s="127"/>
      <c r="CC196" s="127"/>
      <c r="CF196" s="133"/>
      <c r="CG196" s="133"/>
      <c r="CH196" s="132"/>
      <c r="CI196" s="132"/>
      <c r="CJ196" s="133"/>
      <c r="CK196" s="133"/>
      <c r="CL196" s="133"/>
      <c r="CM196" s="133"/>
      <c r="CN196" s="133"/>
      <c r="CO196" s="133"/>
      <c r="CP196" s="133"/>
      <c r="CQ196" s="1"/>
    </row>
    <row r="197" spans="79:95" ht="14.1" hidden="1" customHeight="1">
      <c r="CA197" s="127"/>
      <c r="CB197" s="127"/>
      <c r="CC197" s="127"/>
      <c r="CF197" s="133"/>
      <c r="CG197" s="133"/>
      <c r="CH197" s="132"/>
      <c r="CI197" s="132"/>
      <c r="CJ197" s="133"/>
      <c r="CK197" s="133"/>
      <c r="CL197" s="133"/>
      <c r="CM197" s="133"/>
      <c r="CN197" s="133"/>
      <c r="CO197" s="133"/>
      <c r="CP197" s="133"/>
      <c r="CQ197" s="1"/>
    </row>
    <row r="198" spans="79:95" ht="14.1" hidden="1" customHeight="1">
      <c r="CA198" s="127"/>
      <c r="CB198" s="127"/>
      <c r="CC198" s="127"/>
      <c r="CF198" s="133"/>
      <c r="CG198" s="133"/>
      <c r="CH198" s="132"/>
      <c r="CI198" s="132"/>
      <c r="CJ198" s="133"/>
      <c r="CK198" s="133"/>
      <c r="CL198" s="133"/>
      <c r="CM198" s="133"/>
      <c r="CN198" s="133"/>
      <c r="CO198" s="133"/>
      <c r="CP198" s="133"/>
      <c r="CQ198" s="1"/>
    </row>
    <row r="199" spans="79:95" ht="14.1" hidden="1" customHeight="1">
      <c r="CA199" s="127"/>
      <c r="CB199" s="127"/>
      <c r="CC199" s="127"/>
      <c r="CF199" s="133"/>
      <c r="CG199" s="133"/>
      <c r="CH199" s="132"/>
      <c r="CI199" s="132"/>
      <c r="CJ199" s="133"/>
      <c r="CK199" s="133"/>
      <c r="CL199" s="133"/>
      <c r="CM199" s="133"/>
      <c r="CN199" s="133"/>
      <c r="CO199" s="133"/>
      <c r="CP199" s="133"/>
      <c r="CQ199" s="1"/>
    </row>
    <row r="200" spans="79:95" ht="14.1" hidden="1" customHeight="1">
      <c r="CA200" s="127"/>
      <c r="CB200" s="127"/>
      <c r="CC200" s="127"/>
      <c r="CF200" s="133"/>
      <c r="CG200" s="133"/>
      <c r="CH200" s="132"/>
      <c r="CI200" s="132"/>
      <c r="CJ200" s="133"/>
      <c r="CK200" s="133"/>
      <c r="CL200" s="133"/>
      <c r="CM200" s="133"/>
      <c r="CN200" s="133"/>
      <c r="CO200" s="133"/>
      <c r="CP200" s="133"/>
      <c r="CQ200" s="1"/>
    </row>
    <row r="201" spans="79:95" ht="14.1" hidden="1" customHeight="1">
      <c r="CA201" s="127"/>
      <c r="CB201" s="127"/>
      <c r="CC201" s="127"/>
      <c r="CF201" s="133"/>
      <c r="CG201" s="133"/>
      <c r="CH201" s="132"/>
      <c r="CI201" s="132"/>
      <c r="CJ201" s="133"/>
      <c r="CK201" s="133"/>
      <c r="CL201" s="133"/>
      <c r="CM201" s="133"/>
      <c r="CN201" s="133"/>
      <c r="CO201" s="133"/>
      <c r="CP201" s="133"/>
      <c r="CQ201" s="1"/>
    </row>
    <row r="202" spans="79:95" ht="14.1" hidden="1" customHeight="1">
      <c r="CA202" s="127"/>
      <c r="CB202" s="127"/>
      <c r="CC202" s="127"/>
      <c r="CF202" s="133"/>
      <c r="CG202" s="133"/>
      <c r="CH202" s="132"/>
      <c r="CI202" s="132"/>
      <c r="CJ202" s="133"/>
      <c r="CK202" s="133"/>
      <c r="CL202" s="133"/>
      <c r="CM202" s="133"/>
      <c r="CN202" s="133"/>
      <c r="CO202" s="133"/>
      <c r="CP202" s="133"/>
      <c r="CQ202" s="1"/>
    </row>
    <row r="203" spans="79:95" ht="14.1" hidden="1" customHeight="1">
      <c r="CA203" s="127"/>
      <c r="CB203" s="127"/>
      <c r="CC203" s="127"/>
      <c r="CF203" s="133"/>
      <c r="CG203" s="133"/>
      <c r="CH203" s="132"/>
      <c r="CI203" s="132"/>
      <c r="CJ203" s="133"/>
      <c r="CK203" s="133"/>
      <c r="CL203" s="133"/>
      <c r="CM203" s="133"/>
      <c r="CN203" s="133"/>
      <c r="CO203" s="133"/>
      <c r="CP203" s="133"/>
      <c r="CQ203" s="1"/>
    </row>
    <row r="204" spans="79:95" ht="14.1" hidden="1" customHeight="1">
      <c r="CA204" s="127"/>
      <c r="CB204" s="127"/>
      <c r="CC204" s="127"/>
      <c r="CF204" s="133"/>
      <c r="CG204" s="133"/>
      <c r="CH204" s="132"/>
      <c r="CI204" s="132"/>
      <c r="CJ204" s="133"/>
      <c r="CK204" s="133"/>
      <c r="CL204" s="133"/>
      <c r="CM204" s="133"/>
      <c r="CN204" s="133"/>
      <c r="CO204" s="133"/>
      <c r="CP204" s="133"/>
      <c r="CQ204" s="1"/>
    </row>
    <row r="205" spans="79:95" ht="14.1" hidden="1" customHeight="1">
      <c r="CA205" s="127"/>
      <c r="CB205" s="127"/>
      <c r="CC205" s="127"/>
      <c r="CF205" s="133"/>
      <c r="CG205" s="133"/>
      <c r="CH205" s="132"/>
      <c r="CI205" s="132"/>
      <c r="CJ205" s="133"/>
      <c r="CK205" s="133"/>
      <c r="CL205" s="133"/>
      <c r="CM205" s="133"/>
      <c r="CN205" s="133"/>
      <c r="CO205" s="133"/>
      <c r="CP205" s="133"/>
      <c r="CQ205" s="1"/>
    </row>
    <row r="206" spans="79:95" ht="14.1" hidden="1" customHeight="1">
      <c r="CA206" s="127"/>
      <c r="CB206" s="127"/>
      <c r="CC206" s="127"/>
      <c r="CF206" s="133"/>
      <c r="CG206" s="133"/>
      <c r="CH206" s="132"/>
      <c r="CI206" s="132"/>
      <c r="CJ206" s="133"/>
      <c r="CK206" s="133"/>
      <c r="CL206" s="133"/>
      <c r="CM206" s="133"/>
      <c r="CN206" s="133"/>
      <c r="CO206" s="133"/>
      <c r="CP206" s="133"/>
      <c r="CQ206" s="1"/>
    </row>
    <row r="207" spans="79:95" ht="14.1" hidden="1" customHeight="1">
      <c r="CA207" s="127"/>
      <c r="CB207" s="127"/>
      <c r="CC207" s="127"/>
      <c r="CF207" s="133"/>
      <c r="CG207" s="133"/>
      <c r="CH207" s="132"/>
      <c r="CI207" s="132"/>
      <c r="CJ207" s="133"/>
      <c r="CK207" s="133"/>
      <c r="CL207" s="133"/>
      <c r="CM207" s="133"/>
      <c r="CN207" s="133"/>
      <c r="CO207" s="133"/>
      <c r="CP207" s="133"/>
      <c r="CQ207" s="1"/>
    </row>
    <row r="208" spans="79:95" ht="14.1" hidden="1" customHeight="1">
      <c r="CA208" s="127"/>
      <c r="CB208" s="127"/>
      <c r="CC208" s="127"/>
      <c r="CF208" s="133"/>
      <c r="CG208" s="133"/>
      <c r="CH208" s="132"/>
      <c r="CI208" s="132"/>
      <c r="CJ208" s="133"/>
      <c r="CK208" s="133"/>
      <c r="CL208" s="133"/>
      <c r="CM208" s="133"/>
      <c r="CN208" s="133"/>
      <c r="CO208" s="133"/>
      <c r="CP208" s="133"/>
      <c r="CQ208" s="1"/>
    </row>
    <row r="209" spans="79:95" ht="14.1" hidden="1" customHeight="1">
      <c r="CA209" s="127"/>
      <c r="CB209" s="127"/>
      <c r="CC209" s="127"/>
      <c r="CF209" s="133"/>
      <c r="CG209" s="133"/>
      <c r="CH209" s="132"/>
      <c r="CI209" s="132"/>
      <c r="CJ209" s="133"/>
      <c r="CK209" s="133"/>
      <c r="CL209" s="133"/>
      <c r="CM209" s="133"/>
      <c r="CN209" s="133"/>
      <c r="CO209" s="133"/>
      <c r="CP209" s="133"/>
      <c r="CQ209" s="1"/>
    </row>
    <row r="210" spans="79:95" ht="14.1" hidden="1" customHeight="1">
      <c r="CA210" s="127"/>
      <c r="CB210" s="127"/>
      <c r="CC210" s="127"/>
      <c r="CF210" s="133"/>
      <c r="CG210" s="133"/>
      <c r="CH210" s="132"/>
      <c r="CI210" s="132"/>
      <c r="CJ210" s="133"/>
      <c r="CK210" s="133"/>
      <c r="CL210" s="133"/>
      <c r="CM210" s="133"/>
      <c r="CN210" s="133"/>
      <c r="CO210" s="133"/>
      <c r="CP210" s="133"/>
      <c r="CQ210" s="1"/>
    </row>
    <row r="211" spans="79:95" ht="14.1" hidden="1" customHeight="1">
      <c r="CA211" s="127"/>
      <c r="CB211" s="127"/>
      <c r="CC211" s="127"/>
      <c r="CF211" s="133"/>
      <c r="CG211" s="133"/>
      <c r="CH211" s="132"/>
      <c r="CI211" s="132"/>
      <c r="CJ211" s="133"/>
      <c r="CK211" s="133"/>
      <c r="CL211" s="133"/>
      <c r="CM211" s="133"/>
      <c r="CN211" s="133"/>
      <c r="CO211" s="133"/>
      <c r="CP211" s="133"/>
      <c r="CQ211" s="1"/>
    </row>
    <row r="212" spans="79:95" ht="14.1" hidden="1" customHeight="1">
      <c r="CA212" s="127"/>
      <c r="CB212" s="127"/>
      <c r="CC212" s="127"/>
      <c r="CF212" s="133"/>
      <c r="CG212" s="133"/>
      <c r="CH212" s="132"/>
      <c r="CI212" s="132"/>
      <c r="CJ212" s="133"/>
      <c r="CK212" s="133"/>
      <c r="CL212" s="133"/>
      <c r="CM212" s="133"/>
      <c r="CN212" s="133"/>
      <c r="CO212" s="133"/>
      <c r="CP212" s="133"/>
      <c r="CQ212" s="1"/>
    </row>
    <row r="213" spans="79:95" ht="14.1" hidden="1" customHeight="1">
      <c r="CA213" s="127"/>
      <c r="CB213" s="127"/>
      <c r="CC213" s="127"/>
      <c r="CF213" s="133"/>
      <c r="CG213" s="133"/>
      <c r="CH213" s="132"/>
      <c r="CI213" s="132"/>
      <c r="CJ213" s="133"/>
      <c r="CK213" s="133"/>
      <c r="CL213" s="133"/>
      <c r="CM213" s="133"/>
      <c r="CN213" s="133"/>
      <c r="CO213" s="133"/>
      <c r="CP213" s="133"/>
      <c r="CQ213" s="1"/>
    </row>
    <row r="214" spans="79:95" ht="14.1" hidden="1" customHeight="1">
      <c r="CA214" s="127"/>
      <c r="CB214" s="127"/>
      <c r="CC214" s="127"/>
      <c r="CF214" s="133"/>
      <c r="CG214" s="133"/>
      <c r="CH214" s="132"/>
      <c r="CI214" s="132"/>
      <c r="CJ214" s="133"/>
      <c r="CK214" s="133"/>
      <c r="CL214" s="133"/>
      <c r="CM214" s="133"/>
      <c r="CN214" s="133"/>
      <c r="CO214" s="133"/>
      <c r="CP214" s="133"/>
    </row>
    <row r="215" spans="79:95" ht="14.1" hidden="1" customHeight="1">
      <c r="CA215" s="127"/>
      <c r="CB215" s="127"/>
      <c r="CC215" s="127"/>
      <c r="CF215" s="133"/>
      <c r="CG215" s="133"/>
      <c r="CH215" s="132"/>
      <c r="CI215" s="132"/>
      <c r="CJ215" s="133"/>
      <c r="CK215" s="133"/>
      <c r="CL215" s="133"/>
      <c r="CM215" s="133"/>
      <c r="CN215" s="133"/>
      <c r="CO215" s="133"/>
      <c r="CP215" s="133"/>
    </row>
    <row r="216" spans="79:95" ht="14.1" hidden="1" customHeight="1">
      <c r="CA216" s="127"/>
      <c r="CB216" s="127"/>
      <c r="CC216" s="127"/>
      <c r="CF216" s="133"/>
      <c r="CG216" s="133"/>
      <c r="CH216" s="132"/>
      <c r="CI216" s="132"/>
      <c r="CJ216" s="133"/>
      <c r="CK216" s="133"/>
      <c r="CL216" s="133"/>
      <c r="CM216" s="133"/>
      <c r="CN216" s="133"/>
      <c r="CO216" s="133"/>
      <c r="CP216" s="133"/>
    </row>
    <row r="217" spans="79:95" ht="14.1" hidden="1" customHeight="1">
      <c r="CA217" s="127"/>
      <c r="CB217" s="127"/>
      <c r="CC217" s="127"/>
      <c r="CF217" s="133"/>
      <c r="CG217" s="133"/>
      <c r="CH217" s="132"/>
      <c r="CI217" s="132"/>
      <c r="CJ217" s="133"/>
      <c r="CK217" s="133"/>
      <c r="CL217" s="133"/>
      <c r="CM217" s="133"/>
      <c r="CN217" s="133"/>
      <c r="CO217" s="133"/>
      <c r="CP217" s="133"/>
    </row>
    <row r="218" spans="79:95" ht="14.1" hidden="1" customHeight="1">
      <c r="CA218" s="127"/>
      <c r="CB218" s="127"/>
      <c r="CC218" s="127"/>
      <c r="CF218" s="133"/>
      <c r="CG218" s="133"/>
      <c r="CH218" s="132"/>
      <c r="CI218" s="132"/>
      <c r="CJ218" s="133"/>
      <c r="CK218" s="133"/>
      <c r="CL218" s="133"/>
      <c r="CM218" s="133"/>
      <c r="CN218" s="133"/>
      <c r="CO218" s="133"/>
      <c r="CP218" s="133"/>
    </row>
    <row r="219" spans="79:95" ht="14.1" hidden="1" customHeight="1">
      <c r="CA219" s="127"/>
      <c r="CB219" s="127"/>
      <c r="CC219" s="127"/>
      <c r="CF219" s="133"/>
      <c r="CG219" s="133"/>
      <c r="CH219" s="132"/>
      <c r="CI219" s="132"/>
      <c r="CJ219" s="133"/>
      <c r="CK219" s="133"/>
      <c r="CL219" s="133"/>
      <c r="CM219" s="133"/>
      <c r="CN219" s="133"/>
      <c r="CO219" s="133"/>
      <c r="CP219" s="133"/>
    </row>
    <row r="220" spans="79:95" ht="14.1" hidden="1" customHeight="1">
      <c r="CA220" s="127"/>
      <c r="CB220" s="127"/>
      <c r="CC220" s="127"/>
      <c r="CF220" s="133"/>
      <c r="CG220" s="133"/>
      <c r="CH220" s="132"/>
      <c r="CI220" s="132"/>
      <c r="CJ220" s="133"/>
      <c r="CK220" s="133"/>
      <c r="CL220" s="133"/>
      <c r="CM220" s="133"/>
      <c r="CN220" s="133"/>
      <c r="CO220" s="133"/>
      <c r="CP220" s="133"/>
    </row>
    <row r="221" spans="79:95" ht="14.1" hidden="1" customHeight="1">
      <c r="CA221" s="127"/>
      <c r="CB221" s="127"/>
      <c r="CC221" s="127"/>
      <c r="CF221" s="133"/>
      <c r="CG221" s="133"/>
      <c r="CH221" s="132"/>
      <c r="CI221" s="132"/>
      <c r="CJ221" s="133"/>
      <c r="CK221" s="133"/>
      <c r="CL221" s="133"/>
      <c r="CM221" s="133"/>
      <c r="CN221" s="133"/>
      <c r="CO221" s="133"/>
      <c r="CP221" s="133"/>
    </row>
    <row r="222" spans="79:95" ht="14.1" hidden="1" customHeight="1">
      <c r="CA222" s="127"/>
      <c r="CB222" s="127"/>
      <c r="CC222" s="127"/>
      <c r="CF222" s="133"/>
      <c r="CG222" s="133"/>
      <c r="CH222" s="132"/>
      <c r="CI222" s="132"/>
      <c r="CJ222" s="133"/>
      <c r="CK222" s="133"/>
      <c r="CL222" s="133"/>
      <c r="CM222" s="133"/>
      <c r="CN222" s="133"/>
      <c r="CO222" s="133"/>
      <c r="CP222" s="133"/>
    </row>
    <row r="223" spans="79:95" ht="14.1" hidden="1" customHeight="1">
      <c r="CA223" s="127"/>
      <c r="CB223" s="127"/>
      <c r="CC223" s="127"/>
      <c r="CF223" s="133"/>
      <c r="CG223" s="133"/>
      <c r="CH223" s="132"/>
      <c r="CI223" s="132"/>
      <c r="CJ223" s="133"/>
      <c r="CK223" s="133"/>
      <c r="CL223" s="133"/>
      <c r="CM223" s="133"/>
      <c r="CN223" s="133"/>
      <c r="CO223" s="133"/>
      <c r="CP223" s="133"/>
    </row>
    <row r="224" spans="79:95" ht="14.1" hidden="1" customHeight="1">
      <c r="CA224" s="127"/>
      <c r="CB224" s="127"/>
      <c r="CC224" s="127"/>
      <c r="CF224" s="133"/>
      <c r="CG224" s="133"/>
      <c r="CH224" s="132"/>
      <c r="CI224" s="132"/>
      <c r="CJ224" s="133"/>
      <c r="CK224" s="133"/>
      <c r="CL224" s="133"/>
      <c r="CM224" s="133"/>
      <c r="CN224" s="133"/>
      <c r="CO224" s="133"/>
      <c r="CP224" s="133"/>
    </row>
    <row r="225" spans="79:94" ht="14.1" hidden="1" customHeight="1">
      <c r="CA225" s="127"/>
      <c r="CB225" s="127"/>
      <c r="CC225" s="127"/>
      <c r="CF225" s="133"/>
      <c r="CG225" s="133"/>
      <c r="CH225" s="132"/>
      <c r="CI225" s="132"/>
      <c r="CJ225" s="133"/>
      <c r="CK225" s="133"/>
      <c r="CL225" s="133"/>
      <c r="CM225" s="133"/>
      <c r="CN225" s="133"/>
      <c r="CO225" s="133"/>
      <c r="CP225" s="133"/>
    </row>
    <row r="226" spans="79:94" ht="14.1" hidden="1" customHeight="1">
      <c r="CA226" s="127"/>
      <c r="CB226" s="127"/>
      <c r="CC226" s="127"/>
      <c r="CF226" s="133"/>
      <c r="CG226" s="133"/>
      <c r="CH226" s="132"/>
      <c r="CI226" s="132"/>
      <c r="CJ226" s="133"/>
      <c r="CK226" s="133"/>
      <c r="CL226" s="133"/>
      <c r="CM226" s="133"/>
      <c r="CN226" s="133"/>
      <c r="CO226" s="133"/>
      <c r="CP226" s="133"/>
    </row>
    <row r="227" spans="79:94" ht="14.1" hidden="1" customHeight="1">
      <c r="CA227" s="127"/>
      <c r="CB227" s="127"/>
      <c r="CC227" s="127"/>
      <c r="CF227" s="133"/>
      <c r="CG227" s="133"/>
      <c r="CH227" s="132"/>
      <c r="CI227" s="132"/>
      <c r="CJ227" s="133"/>
      <c r="CK227" s="133"/>
      <c r="CL227" s="133"/>
      <c r="CM227" s="133"/>
      <c r="CN227" s="133"/>
      <c r="CO227" s="133"/>
      <c r="CP227" s="133"/>
    </row>
    <row r="228" spans="79:94" ht="14.1" hidden="1" customHeight="1">
      <c r="CA228" s="127"/>
      <c r="CB228" s="127"/>
      <c r="CC228" s="127"/>
      <c r="CF228" s="133"/>
      <c r="CG228" s="133"/>
      <c r="CH228" s="132"/>
      <c r="CI228" s="132"/>
      <c r="CJ228" s="133"/>
      <c r="CK228" s="133"/>
      <c r="CL228" s="133"/>
      <c r="CM228" s="133"/>
      <c r="CN228" s="133"/>
      <c r="CO228" s="133"/>
      <c r="CP228" s="133"/>
    </row>
    <row r="229" spans="79:94" ht="14.1" hidden="1" customHeight="1">
      <c r="CA229" s="127"/>
      <c r="CB229" s="127"/>
      <c r="CC229" s="127"/>
      <c r="CF229" s="133"/>
      <c r="CG229" s="133"/>
      <c r="CH229" s="132"/>
      <c r="CI229" s="132"/>
      <c r="CJ229" s="133"/>
      <c r="CK229" s="133"/>
      <c r="CL229" s="133"/>
      <c r="CM229" s="133"/>
      <c r="CN229" s="133"/>
      <c r="CO229" s="133"/>
      <c r="CP229" s="133"/>
    </row>
    <row r="230" spans="79:94" ht="14.1" hidden="1" customHeight="1">
      <c r="CA230" s="127"/>
      <c r="CB230" s="127"/>
      <c r="CC230" s="127"/>
      <c r="CF230" s="133"/>
      <c r="CG230" s="133"/>
      <c r="CH230" s="132"/>
      <c r="CI230" s="132"/>
      <c r="CJ230" s="133"/>
      <c r="CK230" s="133"/>
      <c r="CL230" s="133"/>
      <c r="CM230" s="133"/>
      <c r="CN230" s="133"/>
      <c r="CO230" s="133"/>
      <c r="CP230" s="133"/>
    </row>
    <row r="231" spans="79:94" ht="14.1" hidden="1" customHeight="1">
      <c r="CA231" s="127"/>
      <c r="CB231" s="127"/>
      <c r="CC231" s="127"/>
      <c r="CF231" s="133"/>
      <c r="CG231" s="133"/>
      <c r="CH231" s="132"/>
      <c r="CI231" s="132"/>
      <c r="CJ231" s="133"/>
      <c r="CK231" s="133"/>
      <c r="CL231" s="133"/>
      <c r="CM231" s="133"/>
      <c r="CN231" s="133"/>
      <c r="CO231" s="133"/>
      <c r="CP231" s="133"/>
    </row>
    <row r="232" spans="79:94" ht="14.1" hidden="1" customHeight="1">
      <c r="CA232" s="127"/>
      <c r="CB232" s="127"/>
      <c r="CC232" s="127"/>
      <c r="CF232" s="133"/>
      <c r="CG232" s="133"/>
      <c r="CH232" s="132"/>
      <c r="CI232" s="132"/>
      <c r="CJ232" s="133"/>
      <c r="CK232" s="133"/>
      <c r="CL232" s="133"/>
      <c r="CM232" s="133"/>
      <c r="CN232" s="133"/>
      <c r="CO232" s="133"/>
      <c r="CP232" s="133"/>
    </row>
    <row r="233" spans="79:94" ht="14.1" hidden="1" customHeight="1">
      <c r="CA233" s="127"/>
      <c r="CB233" s="127"/>
      <c r="CC233" s="127"/>
      <c r="CF233" s="133"/>
      <c r="CG233" s="133"/>
      <c r="CH233" s="132"/>
      <c r="CI233" s="132"/>
      <c r="CJ233" s="133"/>
      <c r="CK233" s="133"/>
      <c r="CL233" s="133"/>
      <c r="CM233" s="133"/>
      <c r="CN233" s="133"/>
      <c r="CO233" s="133"/>
      <c r="CP233" s="133"/>
    </row>
    <row r="234" spans="79:94" ht="14.1" hidden="1" customHeight="1">
      <c r="CA234" s="127"/>
      <c r="CB234" s="127"/>
      <c r="CC234" s="127"/>
      <c r="CF234" s="133"/>
      <c r="CG234" s="133"/>
      <c r="CH234" s="132"/>
      <c r="CI234" s="132"/>
      <c r="CJ234" s="133"/>
      <c r="CK234" s="133"/>
      <c r="CL234" s="133"/>
      <c r="CM234" s="133"/>
      <c r="CN234" s="133"/>
      <c r="CO234" s="133"/>
      <c r="CP234" s="133"/>
    </row>
    <row r="235" spans="79:94" ht="14.1" hidden="1" customHeight="1">
      <c r="CA235" s="127"/>
      <c r="CB235" s="127"/>
      <c r="CC235" s="127"/>
      <c r="CF235" s="133"/>
      <c r="CG235" s="133"/>
      <c r="CH235" s="132"/>
      <c r="CI235" s="132"/>
      <c r="CJ235" s="133"/>
      <c r="CK235" s="133"/>
      <c r="CL235" s="133"/>
      <c r="CM235" s="133"/>
      <c r="CN235" s="133"/>
      <c r="CO235" s="133"/>
      <c r="CP235" s="133"/>
    </row>
    <row r="236" spans="79:94" ht="14.1" hidden="1" customHeight="1">
      <c r="CA236" s="127"/>
      <c r="CB236" s="127"/>
      <c r="CC236" s="127"/>
      <c r="CF236" s="133"/>
      <c r="CG236" s="133"/>
      <c r="CH236" s="132"/>
      <c r="CI236" s="132"/>
      <c r="CJ236" s="133"/>
      <c r="CK236" s="133"/>
      <c r="CL236" s="133"/>
      <c r="CM236" s="133"/>
      <c r="CN236" s="133"/>
      <c r="CO236" s="133"/>
      <c r="CP236" s="133"/>
    </row>
    <row r="237" spans="79:94" ht="14.1" hidden="1" customHeight="1">
      <c r="CA237" s="127"/>
      <c r="CB237" s="127"/>
      <c r="CC237" s="127"/>
      <c r="CF237" s="133"/>
      <c r="CG237" s="133"/>
      <c r="CH237" s="132"/>
      <c r="CI237" s="132"/>
      <c r="CJ237" s="133"/>
      <c r="CK237" s="133"/>
      <c r="CL237" s="133"/>
      <c r="CM237" s="133"/>
      <c r="CN237" s="133"/>
      <c r="CO237" s="133"/>
      <c r="CP237" s="133"/>
    </row>
    <row r="238" spans="79:94" ht="14.1" hidden="1" customHeight="1">
      <c r="CA238" s="127"/>
      <c r="CB238" s="127"/>
      <c r="CC238" s="127"/>
      <c r="CF238" s="133"/>
      <c r="CG238" s="133"/>
      <c r="CH238" s="132"/>
      <c r="CI238" s="132"/>
      <c r="CJ238" s="133"/>
      <c r="CK238" s="133"/>
      <c r="CL238" s="133"/>
      <c r="CM238" s="133"/>
      <c r="CN238" s="133"/>
      <c r="CO238" s="133"/>
      <c r="CP238" s="133"/>
    </row>
    <row r="239" spans="79:94" ht="14.1" hidden="1" customHeight="1">
      <c r="CA239" s="127"/>
      <c r="CB239" s="127"/>
      <c r="CC239" s="127"/>
      <c r="CF239" s="133"/>
      <c r="CG239" s="133"/>
      <c r="CH239" s="132"/>
      <c r="CI239" s="132"/>
      <c r="CJ239" s="133"/>
      <c r="CK239" s="133"/>
      <c r="CL239" s="133"/>
      <c r="CM239" s="133"/>
      <c r="CN239" s="133"/>
      <c r="CO239" s="133"/>
      <c r="CP239" s="133"/>
    </row>
    <row r="240" spans="79:94" ht="14.1" hidden="1" customHeight="1">
      <c r="CA240" s="127"/>
      <c r="CB240" s="127"/>
      <c r="CC240" s="127"/>
      <c r="CF240" s="133"/>
      <c r="CG240" s="133"/>
      <c r="CH240" s="132"/>
      <c r="CI240" s="132"/>
      <c r="CJ240" s="133"/>
      <c r="CK240" s="133"/>
      <c r="CL240" s="133"/>
      <c r="CM240" s="133"/>
      <c r="CN240" s="133"/>
      <c r="CO240" s="133"/>
      <c r="CP240" s="133"/>
    </row>
    <row r="241" spans="79:94" ht="14.1" hidden="1" customHeight="1">
      <c r="CA241" s="127"/>
      <c r="CB241" s="127"/>
      <c r="CC241" s="127"/>
      <c r="CF241" s="133"/>
      <c r="CG241" s="133"/>
      <c r="CH241" s="132"/>
      <c r="CI241" s="132"/>
      <c r="CJ241" s="133"/>
      <c r="CK241" s="133"/>
      <c r="CL241" s="133"/>
      <c r="CM241" s="133"/>
      <c r="CN241" s="133"/>
      <c r="CO241" s="133"/>
      <c r="CP241" s="133"/>
    </row>
    <row r="242" spans="79:94" ht="14.1" hidden="1" customHeight="1">
      <c r="CA242" s="127"/>
      <c r="CB242" s="127"/>
      <c r="CC242" s="127"/>
      <c r="CF242" s="133"/>
      <c r="CG242" s="133"/>
      <c r="CH242" s="132"/>
      <c r="CI242" s="132"/>
      <c r="CJ242" s="133"/>
      <c r="CK242" s="133"/>
      <c r="CL242" s="133"/>
      <c r="CM242" s="133"/>
      <c r="CN242" s="133"/>
      <c r="CO242" s="133"/>
      <c r="CP242" s="133"/>
    </row>
    <row r="243" spans="79:94" ht="14.1" hidden="1" customHeight="1">
      <c r="CA243" s="127"/>
      <c r="CB243" s="127"/>
      <c r="CC243" s="127"/>
      <c r="CF243" s="133"/>
      <c r="CG243" s="133"/>
      <c r="CH243" s="132"/>
      <c r="CI243" s="132"/>
      <c r="CJ243" s="133"/>
      <c r="CK243" s="133"/>
      <c r="CL243" s="133"/>
      <c r="CM243" s="133"/>
      <c r="CN243" s="133"/>
      <c r="CO243" s="133"/>
      <c r="CP243" s="133"/>
    </row>
    <row r="244" spans="79:94" ht="14.1" hidden="1" customHeight="1">
      <c r="CA244" s="127"/>
      <c r="CB244" s="127"/>
      <c r="CC244" s="127"/>
      <c r="CF244" s="133"/>
      <c r="CG244" s="133"/>
      <c r="CH244" s="132"/>
      <c r="CI244" s="132"/>
      <c r="CJ244" s="133"/>
      <c r="CK244" s="133"/>
      <c r="CL244" s="133"/>
      <c r="CM244" s="133"/>
      <c r="CN244" s="133"/>
      <c r="CO244" s="133"/>
      <c r="CP244" s="133"/>
    </row>
    <row r="245" spans="79:94" ht="14.1" hidden="1" customHeight="1">
      <c r="CA245" s="127"/>
      <c r="CB245" s="127"/>
      <c r="CC245" s="127"/>
      <c r="CF245" s="133"/>
      <c r="CG245" s="133"/>
      <c r="CH245" s="132"/>
      <c r="CI245" s="132"/>
      <c r="CJ245" s="133"/>
      <c r="CK245" s="133"/>
      <c r="CL245" s="133"/>
      <c r="CM245" s="133"/>
      <c r="CN245" s="133"/>
      <c r="CO245" s="133"/>
      <c r="CP245" s="133"/>
    </row>
    <row r="246" spans="79:94" ht="14.1" hidden="1" customHeight="1">
      <c r="CA246" s="127"/>
      <c r="CB246" s="127"/>
      <c r="CC246" s="127"/>
      <c r="CF246" s="133"/>
      <c r="CG246" s="133"/>
      <c r="CH246" s="132"/>
      <c r="CI246" s="132"/>
      <c r="CJ246" s="133"/>
      <c r="CK246" s="133"/>
      <c r="CL246" s="133"/>
      <c r="CM246" s="133"/>
      <c r="CN246" s="133"/>
      <c r="CO246" s="133"/>
      <c r="CP246" s="133"/>
    </row>
    <row r="247" spans="79:94" ht="14.1" hidden="1" customHeight="1">
      <c r="CA247" s="127"/>
      <c r="CB247" s="127"/>
      <c r="CC247" s="127"/>
      <c r="CF247" s="133"/>
      <c r="CG247" s="133"/>
      <c r="CH247" s="132"/>
      <c r="CI247" s="132"/>
      <c r="CJ247" s="133"/>
      <c r="CK247" s="133"/>
      <c r="CL247" s="133"/>
      <c r="CM247" s="133"/>
      <c r="CN247" s="133"/>
      <c r="CO247" s="133"/>
      <c r="CP247" s="133"/>
    </row>
    <row r="248" spans="79:94" ht="14.1" hidden="1" customHeight="1">
      <c r="CA248" s="127"/>
      <c r="CB248" s="127"/>
      <c r="CC248" s="127"/>
      <c r="CF248" s="133"/>
      <c r="CG248" s="133"/>
      <c r="CH248" s="132"/>
      <c r="CI248" s="132"/>
      <c r="CJ248" s="133"/>
      <c r="CK248" s="133"/>
      <c r="CL248" s="133"/>
      <c r="CM248" s="133"/>
      <c r="CN248" s="133"/>
      <c r="CO248" s="133"/>
      <c r="CP248" s="133"/>
    </row>
    <row r="249" spans="79:94" ht="14.1" hidden="1" customHeight="1">
      <c r="CA249" s="127"/>
      <c r="CB249" s="127"/>
      <c r="CC249" s="127"/>
      <c r="CF249" s="133"/>
      <c r="CG249" s="133"/>
      <c r="CH249" s="132"/>
      <c r="CI249" s="132"/>
      <c r="CJ249" s="133"/>
      <c r="CK249" s="133"/>
      <c r="CL249" s="133"/>
      <c r="CM249" s="133"/>
      <c r="CN249" s="133"/>
      <c r="CO249" s="133"/>
      <c r="CP249" s="133"/>
    </row>
    <row r="250" spans="79:94" ht="14.1" hidden="1" customHeight="1">
      <c r="CA250" s="127"/>
      <c r="CB250" s="127"/>
      <c r="CC250" s="127"/>
      <c r="CF250" s="133"/>
      <c r="CG250" s="133"/>
      <c r="CH250" s="132"/>
      <c r="CI250" s="132"/>
      <c r="CJ250" s="133"/>
      <c r="CK250" s="133"/>
      <c r="CL250" s="133"/>
      <c r="CM250" s="133"/>
      <c r="CN250" s="133"/>
      <c r="CO250" s="133"/>
      <c r="CP250" s="133"/>
    </row>
    <row r="251" spans="79:94" ht="14.1" hidden="1" customHeight="1">
      <c r="CA251" s="127"/>
      <c r="CB251" s="127"/>
      <c r="CC251" s="127"/>
      <c r="CF251" s="133"/>
      <c r="CG251" s="133"/>
      <c r="CH251" s="132"/>
      <c r="CI251" s="132"/>
      <c r="CJ251" s="133"/>
      <c r="CK251" s="133"/>
      <c r="CL251" s="133"/>
      <c r="CM251" s="133"/>
      <c r="CN251" s="133"/>
      <c r="CO251" s="133"/>
      <c r="CP251" s="133"/>
    </row>
    <row r="252" spans="79:94" ht="14.1" hidden="1" customHeight="1">
      <c r="CA252" s="127"/>
      <c r="CB252" s="127"/>
      <c r="CC252" s="127"/>
      <c r="CF252" s="133"/>
      <c r="CG252" s="133"/>
      <c r="CH252" s="132"/>
      <c r="CI252" s="132"/>
      <c r="CJ252" s="133"/>
      <c r="CK252" s="133"/>
      <c r="CL252" s="133"/>
      <c r="CM252" s="133"/>
      <c r="CN252" s="133"/>
      <c r="CO252" s="133"/>
      <c r="CP252" s="133"/>
    </row>
    <row r="253" spans="79:94" ht="14.1" hidden="1" customHeight="1">
      <c r="CA253" s="127"/>
      <c r="CB253" s="127"/>
      <c r="CC253" s="127"/>
      <c r="CF253" s="133"/>
      <c r="CG253" s="133"/>
      <c r="CH253" s="132"/>
      <c r="CI253" s="132"/>
      <c r="CJ253" s="133"/>
      <c r="CK253" s="133"/>
      <c r="CL253" s="133"/>
      <c r="CM253" s="133"/>
      <c r="CN253" s="133"/>
      <c r="CO253" s="133"/>
      <c r="CP253" s="133"/>
    </row>
    <row r="254" spans="79:94" ht="14.1" hidden="1" customHeight="1">
      <c r="CA254" s="127"/>
      <c r="CB254" s="127"/>
      <c r="CC254" s="127"/>
      <c r="CF254" s="133"/>
      <c r="CG254" s="133"/>
      <c r="CH254" s="132"/>
      <c r="CI254" s="132"/>
      <c r="CJ254" s="133"/>
      <c r="CK254" s="133"/>
      <c r="CL254" s="133"/>
      <c r="CM254" s="133"/>
      <c r="CN254" s="133"/>
      <c r="CO254" s="133"/>
      <c r="CP254" s="133"/>
    </row>
    <row r="255" spans="79:94" ht="14.1" hidden="1" customHeight="1">
      <c r="CA255" s="127"/>
      <c r="CB255" s="127"/>
      <c r="CC255" s="127"/>
      <c r="CF255" s="133"/>
      <c r="CG255" s="133"/>
      <c r="CH255" s="132"/>
      <c r="CI255" s="132"/>
      <c r="CJ255" s="133"/>
      <c r="CK255" s="133"/>
      <c r="CL255" s="133"/>
      <c r="CM255" s="133"/>
      <c r="CN255" s="133"/>
      <c r="CO255" s="133"/>
      <c r="CP255" s="133"/>
    </row>
    <row r="256" spans="79:94" ht="14.1" hidden="1" customHeight="1">
      <c r="CA256" s="127"/>
      <c r="CB256" s="127"/>
      <c r="CC256" s="127"/>
      <c r="CF256" s="133"/>
      <c r="CG256" s="133"/>
      <c r="CH256" s="132"/>
      <c r="CI256" s="132"/>
      <c r="CJ256" s="133"/>
      <c r="CK256" s="133"/>
      <c r="CL256" s="133"/>
      <c r="CM256" s="133"/>
      <c r="CN256" s="133"/>
      <c r="CO256" s="133"/>
      <c r="CP256" s="133"/>
    </row>
    <row r="257" spans="79:94" ht="14.1" hidden="1" customHeight="1">
      <c r="CA257" s="127"/>
      <c r="CB257" s="127"/>
      <c r="CC257" s="127"/>
      <c r="CF257" s="133"/>
      <c r="CG257" s="133"/>
      <c r="CH257" s="132"/>
      <c r="CI257" s="132"/>
      <c r="CJ257" s="133"/>
      <c r="CK257" s="133"/>
      <c r="CL257" s="133"/>
      <c r="CM257" s="133"/>
      <c r="CN257" s="133"/>
      <c r="CO257" s="133"/>
      <c r="CP257" s="133"/>
    </row>
    <row r="258" spans="79:94" ht="14.1" hidden="1" customHeight="1">
      <c r="CA258" s="127"/>
      <c r="CB258" s="127"/>
      <c r="CC258" s="127"/>
      <c r="CF258" s="133"/>
      <c r="CG258" s="133"/>
      <c r="CH258" s="132"/>
      <c r="CI258" s="132"/>
      <c r="CJ258" s="133"/>
      <c r="CK258" s="133"/>
      <c r="CL258" s="133"/>
      <c r="CM258" s="133"/>
      <c r="CN258" s="133"/>
      <c r="CO258" s="133"/>
      <c r="CP258" s="133"/>
    </row>
    <row r="259" spans="79:94" ht="14.1" hidden="1" customHeight="1">
      <c r="CA259" s="127"/>
      <c r="CB259" s="127"/>
      <c r="CC259" s="127"/>
      <c r="CF259" s="133"/>
      <c r="CG259" s="133"/>
      <c r="CH259" s="132"/>
      <c r="CI259" s="132"/>
      <c r="CJ259" s="133"/>
      <c r="CK259" s="133"/>
      <c r="CL259" s="133"/>
      <c r="CM259" s="133"/>
      <c r="CN259" s="133"/>
      <c r="CO259" s="133"/>
      <c r="CP259" s="133"/>
    </row>
    <row r="260" spans="79:94" ht="14.1" hidden="1" customHeight="1">
      <c r="CA260" s="127"/>
      <c r="CB260" s="127"/>
      <c r="CC260" s="127"/>
      <c r="CF260" s="133"/>
      <c r="CG260" s="133"/>
      <c r="CH260" s="132"/>
      <c r="CI260" s="132"/>
      <c r="CJ260" s="133"/>
      <c r="CK260" s="133"/>
      <c r="CL260" s="133"/>
      <c r="CM260" s="133"/>
      <c r="CN260" s="133"/>
      <c r="CO260" s="133"/>
      <c r="CP260" s="133"/>
    </row>
    <row r="261" spans="79:94" ht="14.1" hidden="1" customHeight="1">
      <c r="CA261" s="127"/>
      <c r="CB261" s="127"/>
      <c r="CC261" s="127"/>
      <c r="CF261" s="133"/>
      <c r="CG261" s="133"/>
      <c r="CH261" s="132"/>
      <c r="CI261" s="132"/>
      <c r="CJ261" s="133"/>
      <c r="CK261" s="133"/>
      <c r="CL261" s="133"/>
      <c r="CM261" s="133"/>
      <c r="CN261" s="133"/>
      <c r="CO261" s="133"/>
      <c r="CP261" s="133"/>
    </row>
    <row r="262" spans="79:94" ht="14.1" hidden="1" customHeight="1">
      <c r="CA262" s="127"/>
      <c r="CB262" s="127"/>
      <c r="CC262" s="127"/>
      <c r="CF262" s="133"/>
      <c r="CG262" s="133"/>
      <c r="CH262" s="132"/>
      <c r="CI262" s="132"/>
      <c r="CJ262" s="133"/>
      <c r="CK262" s="133"/>
      <c r="CL262" s="133"/>
      <c r="CM262" s="133"/>
      <c r="CN262" s="133"/>
      <c r="CO262" s="133"/>
      <c r="CP262" s="133"/>
    </row>
    <row r="263" spans="79:94" ht="14.1" hidden="1" customHeight="1">
      <c r="CA263" s="127"/>
      <c r="CB263" s="127"/>
      <c r="CC263" s="127"/>
      <c r="CF263" s="133"/>
      <c r="CG263" s="133"/>
      <c r="CH263" s="132"/>
      <c r="CI263" s="132"/>
      <c r="CJ263" s="133"/>
      <c r="CK263" s="133"/>
      <c r="CL263" s="133"/>
      <c r="CM263" s="133"/>
      <c r="CN263" s="133"/>
      <c r="CO263" s="133"/>
      <c r="CP263" s="133"/>
    </row>
    <row r="264" spans="79:94" ht="14.1" hidden="1" customHeight="1">
      <c r="CA264" s="127"/>
      <c r="CB264" s="127"/>
      <c r="CC264" s="127"/>
      <c r="CF264" s="133"/>
      <c r="CG264" s="133"/>
      <c r="CH264" s="132"/>
      <c r="CI264" s="132"/>
      <c r="CJ264" s="133"/>
      <c r="CK264" s="133"/>
      <c r="CL264" s="133"/>
      <c r="CM264" s="133"/>
      <c r="CN264" s="133"/>
      <c r="CO264" s="133"/>
      <c r="CP264" s="133"/>
    </row>
    <row r="265" spans="79:94" ht="14.1" hidden="1" customHeight="1">
      <c r="CA265" s="127"/>
      <c r="CB265" s="127"/>
      <c r="CC265" s="127"/>
      <c r="CF265" s="133"/>
      <c r="CG265" s="133"/>
      <c r="CH265" s="132"/>
      <c r="CI265" s="132"/>
      <c r="CJ265" s="133"/>
      <c r="CK265" s="133"/>
      <c r="CL265" s="133"/>
      <c r="CM265" s="133"/>
      <c r="CN265" s="133"/>
      <c r="CO265" s="133"/>
      <c r="CP265" s="133"/>
    </row>
    <row r="266" spans="79:94" ht="14.1" hidden="1" customHeight="1">
      <c r="CA266" s="127"/>
      <c r="CB266" s="127"/>
      <c r="CC266" s="127"/>
      <c r="CF266" s="133"/>
      <c r="CG266" s="133"/>
      <c r="CH266" s="132"/>
      <c r="CI266" s="132"/>
      <c r="CJ266" s="133"/>
      <c r="CK266" s="133"/>
      <c r="CL266" s="133"/>
      <c r="CM266" s="133"/>
      <c r="CN266" s="133"/>
      <c r="CO266" s="133"/>
      <c r="CP266" s="133"/>
    </row>
    <row r="267" spans="79:94" ht="14.1" hidden="1" customHeight="1">
      <c r="CA267" s="127"/>
      <c r="CB267" s="127"/>
      <c r="CC267" s="127"/>
      <c r="CF267" s="133"/>
      <c r="CG267" s="133"/>
      <c r="CH267" s="132"/>
      <c r="CI267" s="132"/>
      <c r="CJ267" s="133"/>
      <c r="CK267" s="133"/>
      <c r="CL267" s="133"/>
      <c r="CM267" s="133"/>
      <c r="CN267" s="133"/>
      <c r="CO267" s="133"/>
      <c r="CP267" s="133"/>
    </row>
    <row r="268" spans="79:94" ht="14.1" hidden="1" customHeight="1">
      <c r="CA268" s="127"/>
      <c r="CB268" s="127"/>
      <c r="CC268" s="127"/>
      <c r="CF268" s="133"/>
      <c r="CG268" s="133"/>
      <c r="CH268" s="132"/>
      <c r="CI268" s="132"/>
      <c r="CJ268" s="133"/>
      <c r="CK268" s="133"/>
      <c r="CL268" s="133"/>
      <c r="CM268" s="133"/>
      <c r="CN268" s="133"/>
      <c r="CO268" s="133"/>
      <c r="CP268" s="133"/>
    </row>
    <row r="269" spans="79:94" ht="14.1" hidden="1" customHeight="1">
      <c r="CA269" s="127"/>
      <c r="CB269" s="127"/>
      <c r="CC269" s="127"/>
      <c r="CF269" s="133"/>
      <c r="CG269" s="133"/>
      <c r="CH269" s="132"/>
      <c r="CI269" s="132"/>
      <c r="CJ269" s="133"/>
      <c r="CK269" s="133"/>
      <c r="CL269" s="133"/>
      <c r="CM269" s="133"/>
      <c r="CN269" s="133"/>
      <c r="CO269" s="133"/>
      <c r="CP269" s="133"/>
    </row>
    <row r="270" spans="79:94" ht="14.1" hidden="1" customHeight="1"/>
    <row r="271" spans="79:94" ht="14.1" hidden="1" customHeight="1"/>
    <row r="272" spans="79:94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sheetProtection sheet="1" objects="1" scenarios="1"/>
  <phoneticPr fontId="0" type="noConversion"/>
  <conditionalFormatting sqref="C48:D48 H48:J48 O48">
    <cfRule type="expression" dxfId="411" priority="1" stopIfTrue="1">
      <formula>IF($H$5&lt;42,TRUE,FALSE)</formula>
    </cfRule>
  </conditionalFormatting>
  <conditionalFormatting sqref="P48 B48">
    <cfRule type="expression" dxfId="410" priority="2" stopIfTrue="1">
      <formula>IF($H$5&lt;42,TRUE,FALSE)</formula>
    </cfRule>
  </conditionalFormatting>
  <conditionalFormatting sqref="G10:G13 G15:G18 G20:G21 G23">
    <cfRule type="expression" dxfId="409" priority="3" stopIfTrue="1">
      <formula>IF(CC11&gt;0,TRUE,FALSE)</formula>
    </cfRule>
  </conditionalFormatting>
  <conditionalFormatting sqref="B28:B47 I28:I47 B50:B69 I50:I69 C54:D55 C45:D46 C33:D34 C42:D43 C51:D52 C36:D37 C57:D58 C39:D40 C60:D61 C69:D69 B49:D49 C63:D64 C66:D67 H49:J49 H69 H33:H34 H36:H37 H39:H40 H42:H43 H45:H46 H51:H52 H54:H55 H57:H58 H60:H61 H63:H64 C31:D31 H66:H67 H31 P28:P47 P50:P69 O49:P49 J66:J67 N69:O69 J69 N28:O28 J60:J61 N30:O31 N33:O34 N36:O37 N39:O40 N42:O43 N45:O46 N48:N49 N51:O52 N54:O55 N57:O58 N60:O61 N63:O64 N66:O67 J63:J64 J33:J34 J28 J36:J37 J39:J40 J42:J43 J45:J46 J30:J31 J51:J52 J54:J55 J57:J58">
    <cfRule type="expression" dxfId="408" priority="4" stopIfTrue="1">
      <formula>IF($T28=0,TRUE,FALSE)</formula>
    </cfRule>
  </conditionalFormatting>
  <conditionalFormatting sqref="D24 D5">
    <cfRule type="expression" dxfId="407" priority="5" stopIfTrue="1">
      <formula>IF(CC7&gt;0,TRUE,FALSE)</formula>
    </cfRule>
  </conditionalFormatting>
  <conditionalFormatting sqref="F5">
    <cfRule type="expression" dxfId="406" priority="6" stopIfTrue="1">
      <formula>IF(CC7&gt;0,TRUE,FALSE)</formula>
    </cfRule>
  </conditionalFormatting>
  <conditionalFormatting sqref="G5">
    <cfRule type="expression" dxfId="405" priority="7" stopIfTrue="1">
      <formula>IF(CC7&gt;0,TRUE,FALSE)</formula>
    </cfRule>
  </conditionalFormatting>
  <conditionalFormatting sqref="D15:D18 D10:D13 D20:D21 D23">
    <cfRule type="expression" dxfId="404" priority="8" stopIfTrue="1">
      <formula>IF(CC11&gt;0,TRUE,FALSE)</formula>
    </cfRule>
  </conditionalFormatting>
  <conditionalFormatting sqref="F10:F13 F15:F18 F20:F21 F23">
    <cfRule type="expression" dxfId="403" priority="9" stopIfTrue="1">
      <formula>IF(CC11&gt;0,TRUE,FALSE)</formula>
    </cfRule>
  </conditionalFormatting>
  <conditionalFormatting sqref="G14">
    <cfRule type="expression" dxfId="402" priority="10" stopIfTrue="1">
      <formula>IF(CC15&gt;0,TRUE,IF(CC25&gt;0,TRUE,FALSE))</formula>
    </cfRule>
  </conditionalFormatting>
  <conditionalFormatting sqref="F14">
    <cfRule type="expression" dxfId="401" priority="11" stopIfTrue="1">
      <formula>IF(CC15&gt;0,TRUE,IF(CC25&gt;0,TRUE,FALSE))</formula>
    </cfRule>
  </conditionalFormatting>
  <conditionalFormatting sqref="D14">
    <cfRule type="expression" dxfId="400" priority="12" stopIfTrue="1">
      <formula>IF(CC15&gt;0,TRUE,IF(CC25&gt;0,TRUE,FALSE))</formula>
    </cfRule>
  </conditionalFormatting>
  <conditionalFormatting sqref="B26">
    <cfRule type="expression" dxfId="399" priority="13" stopIfTrue="1">
      <formula>IF(BZ81&gt;0,TRUE,FALSE)</formula>
    </cfRule>
  </conditionalFormatting>
  <conditionalFormatting sqref="C26">
    <cfRule type="expression" dxfId="398" priority="14" stopIfTrue="1">
      <formula>IF(BZ81&gt;0,TRUE,FALSE)</formula>
    </cfRule>
  </conditionalFormatting>
  <conditionalFormatting sqref="F26">
    <cfRule type="expression" dxfId="397" priority="15" stopIfTrue="1">
      <formula>IF(BZ81&gt;0,TRUE,FALSE)</formula>
    </cfRule>
  </conditionalFormatting>
  <conditionalFormatting sqref="G26">
    <cfRule type="expression" dxfId="396" priority="16" stopIfTrue="1">
      <formula>IF(BZ81&gt;0,TRUE,FALSE)</formula>
    </cfRule>
  </conditionalFormatting>
  <conditionalFormatting sqref="H26">
    <cfRule type="expression" dxfId="395" priority="17" stopIfTrue="1">
      <formula>IF(BZ81&gt;0,TRUE,FALSE)</formula>
    </cfRule>
  </conditionalFormatting>
  <conditionalFormatting sqref="P26">
    <cfRule type="expression" dxfId="394" priority="18" stopIfTrue="1">
      <formula>IF($BZ$125&gt;0,TRUE,FALSE)</formula>
    </cfRule>
  </conditionalFormatting>
  <conditionalFormatting sqref="J26:O26">
    <cfRule type="expression" dxfId="393" priority="19" stopIfTrue="1">
      <formula>IF($BZ$125&gt;0,TRUE,FALSE)</formula>
    </cfRule>
  </conditionalFormatting>
  <conditionalFormatting sqref="C68:D68 C32:D32 H32 C41:D41 C44:D44 C35:D35 C50:D50 C53:D53 C38:D38 C59:D59 C62:D62 C47:D47 C56:D56 C65:D65 H68 H35 H38 H41 H44 H47 H50 H53 H56 H59 H62 H65 N65:O65 N29:O29 N32:O32 N35:O35 N38:O38 N41:O41 N44:O44 N47:O47 N50:O50 N53:O53 N56:O56 N59:O59 N62:O62 J68 N68:O68 J32 J29 J35 J38 J41 J44 J47 J50 J53 J56 J59 J62 J65">
    <cfRule type="expression" dxfId="392" priority="20" stopIfTrue="1">
      <formula>IF($T29=0,TRUE,FALSE)</formula>
    </cfRule>
    <cfRule type="expression" dxfId="391" priority="21" stopIfTrue="1">
      <formula>IF($H$8="3D",TRUE,FALSE)</formula>
    </cfRule>
  </conditionalFormatting>
  <conditionalFormatting sqref="M27">
    <cfRule type="expression" dxfId="390" priority="22" stopIfTrue="1">
      <formula>IF($H$8="3Y",TRUE,FALSE)</formula>
    </cfRule>
  </conditionalFormatting>
  <conditionalFormatting sqref="D26">
    <cfRule type="expression" dxfId="389" priority="23" stopIfTrue="1">
      <formula>IF(BZ81&gt;0,TRUE,FALSE)</formula>
    </cfRule>
  </conditionalFormatting>
  <conditionalFormatting sqref="E26">
    <cfRule type="expression" dxfId="388" priority="24" stopIfTrue="1">
      <formula>IF(BZ81&gt;0,TRUE,FALSE)</formula>
    </cfRule>
  </conditionalFormatting>
  <conditionalFormatting sqref="O7">
    <cfRule type="expression" dxfId="387" priority="25" stopIfTrue="1">
      <formula>IF(AND(OR(O4="MANUAL",O4="AUTO"),CC29=0,CC30=0,CF15=0),TRUE,FALSE)</formula>
    </cfRule>
  </conditionalFormatting>
  <conditionalFormatting sqref="O12">
    <cfRule type="expression" dxfId="386" priority="26" stopIfTrue="1">
      <formula>IF(H8=1,TRUE,FALSE)</formula>
    </cfRule>
  </conditionalFormatting>
  <conditionalFormatting sqref="EG60 EG78:EG99 EG57 EG54 EL88:EL115 EJ116:EQ116 EQ88:EQ99">
    <cfRule type="expression" dxfId="385" priority="27" stopIfTrue="1">
      <formula>IF($H$8=1,TRUE,FALSE)</formula>
    </cfRule>
  </conditionalFormatting>
  <conditionalFormatting sqref="EH54 EH57 EH60 EH78:EH99 EM88:EM115 EJ117:EQ117 ER88:ER99">
    <cfRule type="expression" dxfId="384" priority="28" stopIfTrue="1">
      <formula>IF($H$8="3Y",TRUE,FALSE)</formula>
    </cfRule>
  </conditionalFormatting>
  <conditionalFormatting sqref="EI78:EJ99 EN88:EO115 EI54:EJ54 EI57:EJ57 EI60:EJ60 EJ118:EQ119 ES88:ET99">
    <cfRule type="expression" dxfId="383" priority="29" stopIfTrue="1">
      <formula>IF($H$8="3D",TRUE,FALSE)</formula>
    </cfRule>
  </conditionalFormatting>
  <conditionalFormatting sqref="E3:I3">
    <cfRule type="expression" dxfId="382" priority="30" stopIfTrue="1">
      <formula>IF($CC$32&gt;0,TRUE,FALSE)</formula>
    </cfRule>
  </conditionalFormatting>
  <conditionalFormatting sqref="E69 E66:E67 E33:E34 E36:E37 E39:E40 E42:E43 E45:E46 E48:E49 E51:E52 E54:E55 E57:E58 E60:E61 E63:E64 E31">
    <cfRule type="expression" dxfId="381" priority="31" stopIfTrue="1">
      <formula>IF($T31=0,TRUE,FALSE)</formula>
    </cfRule>
    <cfRule type="expression" dxfId="380" priority="32" stopIfTrue="1">
      <formula>IF($H$10&lt;&gt;"AUTO",TRUE,FALSE)</formula>
    </cfRule>
    <cfRule type="expression" dxfId="379" priority="33" stopIfTrue="1">
      <formula>IF(CI41&gt;0,TRUE,FALSE)</formula>
    </cfRule>
  </conditionalFormatting>
  <conditionalFormatting sqref="E68 E32 E35 E38 E41 E44 E47 E50 E53 E56 E59 E62 E65">
    <cfRule type="expression" dxfId="378" priority="34" stopIfTrue="1">
      <formula>IF($T32=0,TRUE,IF($H$10&lt;&gt;"AUTO",TRUE,FALSE))</formula>
    </cfRule>
    <cfRule type="expression" dxfId="377" priority="35" stopIfTrue="1">
      <formula>IF(CI42&gt;0,TRUE,FALSE)</formula>
    </cfRule>
    <cfRule type="expression" dxfId="376" priority="36" stopIfTrue="1">
      <formula>IF($H$8="3D",TRUE,FALSE)</formula>
    </cfRule>
  </conditionalFormatting>
  <conditionalFormatting sqref="M28 M30:M31 M33:M34 M36:M37 M39:M40 M42:M43 M45:M46 M48:M49 M51:M52 M54:M55 M57:M58 M60:M61 M63:M64 M66:M67 M69">
    <cfRule type="expression" dxfId="375" priority="37" stopIfTrue="1">
      <formula>IF($T28=0,TRUE,FALSE)</formula>
    </cfRule>
    <cfRule type="expression" dxfId="374" priority="38" stopIfTrue="1">
      <formula>IF($H$10&lt;&gt;"AUTO",TRUE,FALSE)</formula>
    </cfRule>
    <cfRule type="expression" dxfId="373" priority="39" stopIfTrue="1">
      <formula>IF(CI83&gt;0,TRUE,FALSE)</formula>
    </cfRule>
  </conditionalFormatting>
  <conditionalFormatting sqref="M29 M32 M35 M38 M41 M44 M47 M50 M53 M56 M59 M62 M65 M68">
    <cfRule type="expression" dxfId="372" priority="40" stopIfTrue="1">
      <formula>IF($T29=0,TRUE,IF($H$10&lt;&gt;"AUTO",TRUE,FALSE))</formula>
    </cfRule>
    <cfRule type="expression" dxfId="371" priority="41" stopIfTrue="1">
      <formula>IF(CI84&gt;0,TRUE,FALSE)</formula>
    </cfRule>
    <cfRule type="expression" dxfId="370" priority="42" stopIfTrue="1">
      <formula>IF($H$8="3D",TRUE,FALSE)</formula>
    </cfRule>
  </conditionalFormatting>
  <conditionalFormatting sqref="F31:F69">
    <cfRule type="expression" dxfId="369" priority="43" stopIfTrue="1">
      <formula>IF($T31=0,TRUE,FALSE)</formula>
    </cfRule>
    <cfRule type="expression" dxfId="368" priority="44" stopIfTrue="1">
      <formula>IF($H$8&lt;&gt;"3Y",TRUE,FALSE)</formula>
    </cfRule>
    <cfRule type="expression" dxfId="367" priority="45" stopIfTrue="1">
      <formula>IF(CF41&gt;0,TRUE,FALSE)</formula>
    </cfRule>
  </conditionalFormatting>
  <conditionalFormatting sqref="L28:L69">
    <cfRule type="expression" dxfId="366" priority="46" stopIfTrue="1">
      <formula>IF($T28=0,TRUE,FALSE)</formula>
    </cfRule>
    <cfRule type="expression" dxfId="365" priority="47" stopIfTrue="1">
      <formula>IF($H$8&lt;&gt;"3Y",TRUE,FALSE)</formula>
    </cfRule>
    <cfRule type="expression" dxfId="364" priority="48" stopIfTrue="1">
      <formula>IF(CF83&gt;0,TRUE,FALSE)</formula>
    </cfRule>
  </conditionalFormatting>
  <conditionalFormatting sqref="G69 G66:G67 G33:G34 G36:G37 G39:G40 G42:G43 G45:G46 G48:G49 G51:G52 G54:G55 G57:G58 G60:G61 G63:G64 G31">
    <cfRule type="expression" dxfId="363" priority="49" stopIfTrue="1">
      <formula>IF($T31=0,TRUE,FALSE)</formula>
    </cfRule>
    <cfRule type="expression" dxfId="362" priority="50" stopIfTrue="1">
      <formula>IF(CC41&gt;0,TRUE,FALSE)</formula>
    </cfRule>
  </conditionalFormatting>
  <conditionalFormatting sqref="G68 G32 G35 G38 G41 G44 G47 G50 G53 G56 G59 G62 G65">
    <cfRule type="expression" dxfId="361" priority="51" stopIfTrue="1">
      <formula>IF($T32=0,TRUE,FALSE)</formula>
    </cfRule>
    <cfRule type="expression" dxfId="360" priority="52" stopIfTrue="1">
      <formula>IF(CC42&gt;0,TRUE,FALSE)</formula>
    </cfRule>
    <cfRule type="expression" dxfId="359" priority="53" stopIfTrue="1">
      <formula>IF($H$8="3D",TRUE,FALSE)</formula>
    </cfRule>
  </conditionalFormatting>
  <conditionalFormatting sqref="K28 K30:K31 K33:K34 K36:K37 K39:K40 K42:K43 K45:K46 K48:K49 K51:K52 K54:K55 K57:K58 K60:K61 K63:K64 K66:K67 K69">
    <cfRule type="expression" dxfId="358" priority="54" stopIfTrue="1">
      <formula>IF($T28=0,TRUE,FALSE)</formula>
    </cfRule>
    <cfRule type="expression" dxfId="357" priority="55" stopIfTrue="1">
      <formula>IF(CC83&gt;0,TRUE,FALSE)</formula>
    </cfRule>
  </conditionalFormatting>
  <conditionalFormatting sqref="K29 K32 K35 K38 K41 K44 K47 K50 K53 K56 K59 K62 K65 K68">
    <cfRule type="expression" dxfId="356" priority="56" stopIfTrue="1">
      <formula>IF($T29=0,TRUE,FALSE)</formula>
    </cfRule>
    <cfRule type="expression" dxfId="355" priority="57" stopIfTrue="1">
      <formula>IF(CC84&gt;0,TRUE,FALSE)</formula>
    </cfRule>
    <cfRule type="expression" dxfId="354" priority="58" stopIfTrue="1">
      <formula>IF($H$8="3D",TRUE,FALSE)</formula>
    </cfRule>
  </conditionalFormatting>
  <conditionalFormatting sqref="E4:H4">
    <cfRule type="expression" dxfId="353" priority="59" stopIfTrue="1">
      <formula>IF($CC$33&gt;0,TRUE,FALSE)</formula>
    </cfRule>
  </conditionalFormatting>
  <conditionalFormatting sqref="H5">
    <cfRule type="expression" dxfId="352" priority="60" stopIfTrue="1">
      <formula>IF(CC7&gt;0,TRUE,FALSE)</formula>
    </cfRule>
  </conditionalFormatting>
  <conditionalFormatting sqref="H23 H20 H16">
    <cfRule type="expression" dxfId="351" priority="61" stopIfTrue="1">
      <formula>IF(CC17&gt;0,TRUE,FALSE)</formula>
    </cfRule>
  </conditionalFormatting>
  <conditionalFormatting sqref="D3:D4">
    <cfRule type="expression" dxfId="350" priority="62" stopIfTrue="1">
      <formula>IF(CC32&gt;0,TRUE,FALSE)</formula>
    </cfRule>
  </conditionalFormatting>
  <conditionalFormatting sqref="N15">
    <cfRule type="expression" dxfId="349" priority="63" stopIfTrue="1">
      <formula>IF(CC34&gt;0,TRUE,FALSE)</formula>
    </cfRule>
  </conditionalFormatting>
  <conditionalFormatting sqref="O15">
    <cfRule type="expression" dxfId="348" priority="64" stopIfTrue="1">
      <formula>IF(CC34&gt;0,TRUE,FALSE)</formula>
    </cfRule>
  </conditionalFormatting>
  <conditionalFormatting sqref="C28:D28 H28">
    <cfRule type="expression" dxfId="347" priority="65" stopIfTrue="1">
      <formula>IF($T28=0,TRUE,FALSE)</formula>
    </cfRule>
    <cfRule type="expression" dxfId="346" priority="66" stopIfTrue="1">
      <formula>IF($O$15="1-PHASE",TRUE,IF($O$15="3-PHASE",TRUE,FALSE))</formula>
    </cfRule>
  </conditionalFormatting>
  <conditionalFormatting sqref="C29:D29 H29">
    <cfRule type="expression" dxfId="345" priority="67" stopIfTrue="1">
      <formula>IF($T29=0,TRUE,FALSE)</formula>
    </cfRule>
    <cfRule type="expression" dxfId="344" priority="68" stopIfTrue="1">
      <formula>IF($O$15="1-PHASE",TRUE,IF($O$15="3-PHASE",TRUE,FALSE))</formula>
    </cfRule>
    <cfRule type="expression" dxfId="343" priority="69" stopIfTrue="1">
      <formula>IF($H$8="3D",TRUE,FALSE)</formula>
    </cfRule>
  </conditionalFormatting>
  <conditionalFormatting sqref="E28">
    <cfRule type="expression" dxfId="342" priority="70" stopIfTrue="1">
      <formula>IF($T28=0,TRUE,IF($H$10&lt;&gt;"AUTO",TRUE,IF($O$15="3-PHASE",TRUE,IF($O15="1-PHASE",TRUE,FALSE))))</formula>
    </cfRule>
    <cfRule type="expression" dxfId="341" priority="71" stopIfTrue="1">
      <formula>IF(CI38&gt;0,TRUE,FALSE)</formula>
    </cfRule>
  </conditionalFormatting>
  <conditionalFormatting sqref="E29">
    <cfRule type="expression" dxfId="340" priority="72" stopIfTrue="1">
      <formula>IF($T28=0,TRUE,IF($H$10&lt;&gt;"AUTO",TRUE,IF($O$15="3-PHASE",TRUE,IF($O15="1-PHASE",TRUE,FALSE))))</formula>
    </cfRule>
    <cfRule type="expression" dxfId="339" priority="73" stopIfTrue="1">
      <formula>IF(CI39&gt;0,TRUE,FALSE)</formula>
    </cfRule>
    <cfRule type="expression" dxfId="338" priority="74" stopIfTrue="1">
      <formula>IF($H$8="3D",TRUE,FALSE)</formula>
    </cfRule>
  </conditionalFormatting>
  <conditionalFormatting sqref="G28">
    <cfRule type="expression" dxfId="337" priority="75" stopIfTrue="1">
      <formula>IF($T28=0,TRUE,IF($O$15="3-PHASE",TRUE,IF($O$15="1-PHASE",TRUE,FALSE)))</formula>
    </cfRule>
    <cfRule type="expression" dxfId="336" priority="76" stopIfTrue="1">
      <formula>IF(CC38&gt;0,TRUE,FALSE)</formula>
    </cfRule>
  </conditionalFormatting>
  <conditionalFormatting sqref="G29">
    <cfRule type="expression" dxfId="335" priority="77" stopIfTrue="1">
      <formula>IF($T28=0,TRUE,IF($O$15="3-PHASE",TRUE,IF($O$15="1-PHASE",TRUE,FALSE)))</formula>
    </cfRule>
    <cfRule type="expression" dxfId="334" priority="78" stopIfTrue="1">
      <formula>IF(CC39&gt;0,TRUE,FALSE)</formula>
    </cfRule>
    <cfRule type="expression" dxfId="333" priority="79" stopIfTrue="1">
      <formula>IF($H$8="3D",TRUE,FALSE)</formula>
    </cfRule>
  </conditionalFormatting>
  <conditionalFormatting sqref="F28">
    <cfRule type="expression" dxfId="332" priority="80" stopIfTrue="1">
      <formula>IF($T28=0,TRUE,IF($H$8&lt;&gt;"3Y",TRUE,IF($O$15="1-PHASE",TRUE,IF($O$15="3-PHASE",TRUE,FALSE))))</formula>
    </cfRule>
    <cfRule type="expression" dxfId="331" priority="81" stopIfTrue="1">
      <formula>IF(CF38&gt;0,TRUE,FALSE)</formula>
    </cfRule>
  </conditionalFormatting>
  <conditionalFormatting sqref="F29">
    <cfRule type="expression" dxfId="330" priority="82" stopIfTrue="1">
      <formula>IF($T28=0,TRUE,IF($H$8&lt;&gt;"3Y",TRUE,IF($O$15="1-PHASE",TRUE,IF($O$15="3-PHASE",TRUE,FALSE))))</formula>
    </cfRule>
    <cfRule type="expression" dxfId="329" priority="83" stopIfTrue="1">
      <formula>IF(CF39&gt;0,TRUE,FALSE)</formula>
    </cfRule>
  </conditionalFormatting>
  <conditionalFormatting sqref="C30:D30 H30">
    <cfRule type="expression" dxfId="328" priority="84" stopIfTrue="1">
      <formula>IF($T30=0,TRUE,FALSE)</formula>
    </cfRule>
    <cfRule type="expression" dxfId="327" priority="85" stopIfTrue="1">
      <formula>IF(AND($O$15="1-PHASE",$H$8&lt;&gt;"3D"),FALSE,IF($O$15="1-PHASE",TRUE,IF($O$15="3-PHASE",TRUE,FALSE)))</formula>
    </cfRule>
  </conditionalFormatting>
  <conditionalFormatting sqref="E30">
    <cfRule type="expression" dxfId="326" priority="86" stopIfTrue="1">
      <formula>IF($T28=0,TRUE,IF($H$10&lt;&gt;"AUTO",TRUE,IF(AND($O$15="1-PHASE",$H$8&lt;&gt;"3D"),FALSE,IF($O$15="3-PHASE",TRUE,IF($O15="1-PHASE",TRUE,FALSE)))))</formula>
    </cfRule>
    <cfRule type="expression" dxfId="325" priority="87" stopIfTrue="1">
      <formula>IF(CI40&gt;0,TRUE,FALSE)</formula>
    </cfRule>
  </conditionalFormatting>
  <conditionalFormatting sqref="F30">
    <cfRule type="expression" dxfId="324" priority="88" stopIfTrue="1">
      <formula>IF($T28=0,TRUE,IF($H$8&lt;&gt;"3Y",TRUE,IF(AND($O$15="1-PHASE",$H$8&lt;&gt;"3D"),FALSE,IF($O$15="1-PHASE",TRUE,IF($O$15="3-PHASE",TRUE,FALSE)))))</formula>
    </cfRule>
    <cfRule type="expression" dxfId="323" priority="89" stopIfTrue="1">
      <formula>IF(CF40&gt;0,TRUE,FALSE)</formula>
    </cfRule>
  </conditionalFormatting>
  <conditionalFormatting sqref="G30">
    <cfRule type="expression" dxfId="322" priority="90" stopIfTrue="1">
      <formula>IF($T28=0,TRUE,IF(AND($O$15="1-PHASE",$H$8&lt;&gt;"3D"),FALSE,IF($O$15="3-PHASE",TRUE,IF($O$15="1-PHASE",TRUE,FALSE))))</formula>
    </cfRule>
    <cfRule type="expression" dxfId="321" priority="91" stopIfTrue="1">
      <formula>IF(CC40&gt;0,TRUE,FALSE)</formula>
    </cfRule>
  </conditionalFormatting>
  <conditionalFormatting sqref="J16:O16">
    <cfRule type="expression" dxfId="320" priority="92" stopIfTrue="1">
      <formula>IF($S$16&gt;0,TRUE,FALSE)</formula>
    </cfRule>
  </conditionalFormatting>
  <conditionalFormatting sqref="H12">
    <cfRule type="expression" dxfId="319" priority="93" stopIfTrue="1">
      <formula>IF(CC13&gt;0,TRUE,FALSE)</formula>
    </cfRule>
    <cfRule type="expression" dxfId="318" priority="94" stopIfTrue="1">
      <formula>IF(H9&lt;&gt;"CONDUIT",TRUE,FALSE)</formula>
    </cfRule>
  </conditionalFormatting>
  <conditionalFormatting sqref="H13">
    <cfRule type="expression" dxfId="317" priority="95" stopIfTrue="1">
      <formula>IF(CC14&gt;0,TRUE,FALSE)</formula>
    </cfRule>
    <cfRule type="expression" dxfId="316" priority="96" stopIfTrue="1">
      <formula>IF(H9&lt;&gt;"CONDUIT",TRUE,FALSE)</formula>
    </cfRule>
  </conditionalFormatting>
  <conditionalFormatting sqref="H17">
    <cfRule type="expression" dxfId="315" priority="97" stopIfTrue="1">
      <formula>IF(CC18&gt;0,TRUE,FALSE)</formula>
    </cfRule>
    <cfRule type="expression" dxfId="314" priority="98" stopIfTrue="1">
      <formula>IF(H9&lt;&gt;"CONDUIT",TRUE,FALSE)</formula>
    </cfRule>
  </conditionalFormatting>
  <conditionalFormatting sqref="H15">
    <cfRule type="expression" dxfId="313" priority="99" stopIfTrue="1">
      <formula>IF(CC16&gt;0,TRUE,FALSE)</formula>
    </cfRule>
  </conditionalFormatting>
  <conditionalFormatting sqref="D6:D7">
    <cfRule type="expression" dxfId="312" priority="100" stopIfTrue="1">
      <formula>IF(CC8&gt;0,TRUE,FALSE)</formula>
    </cfRule>
  </conditionalFormatting>
  <conditionalFormatting sqref="H9">
    <cfRule type="expression" dxfId="311" priority="101" stopIfTrue="1">
      <formula>IF(CC10=4,TRUE,FALSE)</formula>
    </cfRule>
  </conditionalFormatting>
  <conditionalFormatting sqref="H14">
    <cfRule type="expression" dxfId="310" priority="102" stopIfTrue="1">
      <formula>IF(CC15=44,TRUE,FALSE)</formula>
    </cfRule>
    <cfRule type="expression" dxfId="309" priority="103" stopIfTrue="1">
      <formula>IF(OR(CC25&gt;0,CC15&gt;0),TRUE,FALSE)</formula>
    </cfRule>
    <cfRule type="expression" dxfId="308" priority="104" stopIfTrue="1">
      <formula>IF(CC25=0,TRUE,FALSE)</formula>
    </cfRule>
  </conditionalFormatting>
  <conditionalFormatting sqref="J4:O5">
    <cfRule type="expression" dxfId="307" priority="105" stopIfTrue="1">
      <formula>IF($S$4&gt;0,TRUE,FALSE)</formula>
    </cfRule>
  </conditionalFormatting>
  <conditionalFormatting sqref="H18">
    <cfRule type="expression" dxfId="306" priority="106" stopIfTrue="1">
      <formula>IF(CC19=43,TRUE,FALSE)</formula>
    </cfRule>
    <cfRule type="expression" dxfId="305" priority="107" stopIfTrue="1">
      <formula>IF(CC19&gt;0,TRUE,FALSE)</formula>
    </cfRule>
  </conditionalFormatting>
  <conditionalFormatting sqref="H8">
    <cfRule type="expression" dxfId="304" priority="108" stopIfTrue="1">
      <formula>IF(CC30=43,TRUE,FALSE)</formula>
    </cfRule>
    <cfRule type="expression" dxfId="303" priority="109" stopIfTrue="1">
      <formula>IF(CC30&gt;0,TRUE,FALSE)</formula>
    </cfRule>
  </conditionalFormatting>
  <conditionalFormatting sqref="O6">
    <cfRule type="expression" dxfId="302" priority="110" stopIfTrue="1">
      <formula>IF(S6="NO",TRUE,FALSE)</formula>
    </cfRule>
  </conditionalFormatting>
  <conditionalFormatting sqref="D8">
    <cfRule type="expression" dxfId="301" priority="111" stopIfTrue="1">
      <formula>IF(CH1&gt;0,FALSE,IF(CC10=44,TRUE,IF(CC30&gt;0,TRUE,FALSE)))</formula>
    </cfRule>
  </conditionalFormatting>
  <conditionalFormatting sqref="D9">
    <cfRule type="expression" dxfId="300" priority="112" stopIfTrue="1">
      <formula>IF(CH1&gt;0,FALSE,IF(CC10&gt;0,TRUE,FALSE))</formula>
    </cfRule>
  </conditionalFormatting>
  <conditionalFormatting sqref="F8">
    <cfRule type="expression" dxfId="299" priority="113" stopIfTrue="1">
      <formula>IF(CH1&gt;0,FALSE,IF($CC$10=44,TRUE,IF($CC$30&gt;0,TRUE,FALSE)))</formula>
    </cfRule>
  </conditionalFormatting>
  <conditionalFormatting sqref="F9">
    <cfRule type="expression" dxfId="298" priority="114" stopIfTrue="1">
      <formula>IF(CH1&gt;0,FALSE,IF($CC$10&gt;0,TRUE,FALSE))</formula>
    </cfRule>
  </conditionalFormatting>
  <conditionalFormatting sqref="G8">
    <cfRule type="expression" dxfId="297" priority="115" stopIfTrue="1">
      <formula>IF(CH1&gt;0,FALSE,IF($CC$10=44,TRUE,IF($CC$30&gt;0,TRUE,FALSE)))</formula>
    </cfRule>
  </conditionalFormatting>
  <conditionalFormatting sqref="G9">
    <cfRule type="expression" dxfId="296" priority="116" stopIfTrue="1">
      <formula>IF(CH1&gt;0,FALSE,IF($CC$10&gt;0,TRUE,FALSE))</formula>
    </cfRule>
  </conditionalFormatting>
  <conditionalFormatting sqref="J3:O3">
    <cfRule type="expression" dxfId="295" priority="117" stopIfTrue="1">
      <formula>IF($CH$1&gt;0,FALSE,IF($CC$10=44,TRUE,FALSE))</formula>
    </cfRule>
  </conditionalFormatting>
  <dataValidations disablePrompts="1" xWindow="362" yWindow="256" count="25">
    <dataValidation type="list" showInputMessage="1" showErrorMessage="1" errorTitle="Enter Wire Type" error="THW&#10;RHW&#10;THHN&#10;XHHW&#10;THW-CA&#10;THHN-CA&#10;XHHW-CA&#10;" prompt="Enter Wire Type&#10;" sqref="H13">
      <formula1>"THW,RHW,THHN,XHHW,THW-CA,THHN-CA,XHHW-CA"</formula1>
    </dataValidation>
    <dataValidation type="list" showInputMessage="1" showErrorMessage="1" error="Enter AL or CU" prompt="Enter CU or AL" sqref="H14">
      <formula1>"AL,CU"</formula1>
    </dataValidation>
    <dataValidation type="list" showInputMessage="1" showErrorMessage="1" error="Enter 60, 75 or 90" prompt="Enter &#10;Wire &#10;Temp" sqref="H15">
      <formula1>"60,75,90"</formula1>
    </dataValidation>
    <dataValidation type="custom" allowBlank="1" showInputMessage="1" showErrorMessage="1" error="Entry must be five (5) or larger" prompt="Enter&#10;Wire&#10;Length" sqref="H16">
      <formula1>IF(ISTEXT(H16)=TRUE,FALSE,IF(H16&lt;5,FALSE,TRUE))</formula1>
    </dataValidation>
    <dataValidation type="list" showInputMessage="1" showErrorMessage="1" errorTitle="Enter Conduit Type" error="RIGID&#10;EMT&#10;IMC&#10;PVC-40&#10;RIGID/PVC&#10;FLEX&#10;LT-FLEX" prompt="Enter&#10;Conduit&#10;Type" sqref="H17">
      <formula1>"RIGID,EMT,IMC,PVC-40,RIGID/PVC,FLEX,LT-FLEX"</formula1>
    </dataValidation>
    <dataValidation type="whole" allowBlank="1" showInputMessage="1" showErrorMessage="1" error="Enter a whole number between 0 and 100" prompt="Enter&#10;% Factor" sqref="H21">
      <formula1>0</formula1>
      <formula2>100</formula2>
    </dataValidation>
    <dataValidation type="list" showInputMessage="1" showErrorMessage="1" error="Enter Y or N" prompt="Enter Y or N" sqref="H23 H12">
      <formula1>"Y,N"</formula1>
    </dataValidation>
    <dataValidation type="whole" showInputMessage="1" showErrorMessage="1" error="Entry may not be less than zero&#10;or more than 1,200 amps." prompt="Enter&#10;Minimum&#10;Amps" sqref="H18">
      <formula1>0</formula1>
      <formula2>1200</formula2>
    </dataValidation>
    <dataValidation allowBlank="1" showErrorMessage="1" sqref="C28:D69 N28:O69"/>
    <dataValidation type="whole" showInputMessage="1" showErrorMessage="1" errorTitle="Enter VA" error="Must be a whole number&#10;between 0 - 999999" sqref="J28:J69 H28:H69">
      <formula1>0</formula1>
      <formula2>999999</formula2>
    </dataValidation>
    <dataValidation type="list" allowBlank="1" showInputMessage="1" showErrorMessage="1" error="Enter even number between 6 and 84" prompt="Enter even number between &#10;6 and 84" sqref="H5">
      <formula1>"6,8,10,12,14,16,18,20,22,24,26,28,30,32,34,36,38,40,42,44,46,48,50,52,54,56,58,60,62,64,66,68,70,72,74,76,78,80,82,84"</formula1>
    </dataValidation>
    <dataValidation type="whole" allowBlank="1" showInputMessage="1" showErrorMessage="1" error="Entry may not be less than zero&#10;or more than 84" prompt="Enter&#10;Number of&#10;Kitchen&#10;Circuits" sqref="H20">
      <formula1>0</formula1>
      <formula2>84</formula2>
    </dataValidation>
    <dataValidation type="list" allowBlank="1" showInputMessage="1" showErrorMessage="1" error="Select Phase " prompt="Select Phase&#10;1     Single Phase&#10;3Y   3-Phase Y&#10;3D   3-Phase Delta" sqref="H8">
      <formula1>"1,3Y"</formula1>
    </dataValidation>
    <dataValidation type="custom" showErrorMessage="1" errorTitle="Load Identifier" error="Enter&#10;H - Harmonic Load&#10;or SPACE for&#10;Non-Harmonic Load" sqref="F28:F69 L28:L69">
      <formula1>IF($H$8=1,TRUE,IF($H$8="3D",TRUE,IF(F28="H",TRUE,IF(F28=" ",TRUE,FALSE))))</formula1>
    </dataValidation>
    <dataValidation type="custom" showErrorMessage="1" errorTitle="Load Identifier" error="Enter&#10;C - Continous Load&#10;D - Receptacle Load*&#10;G - General Load&#10;K - Kitchen Load&#10;M - Motor Load&#10;&#10;* Receptacle loads may not be used when no Neutral Conductor is present." sqref="G28 G33:G34 G36:G37 G39:G40 G42:G43 G45:G46 G48:G49 G51:G52 G54:G55 G57:G58 G60:G61 G63:G64 G66:G67 K30:K31 G30:G31 K28 G69 K33:K34 K36:K37 K39:K40 K42:K43 K45:K46 K48:K49 K51:K52 K54:K55 K57:K58 K60:K61 K63:K64 K66:K67 K69">
      <formula1>IF(AND(G28="D",$H$10="NONE"),FALSE,IF(G28="G",TRUE,IF(G28="D",TRUE,IF(G28="C",TRUE,IF(G28="M",TRUE,IF(G28="K",TRUE,FALSE))))))</formula1>
    </dataValidation>
    <dataValidation type="custom" showErrorMessage="1" errorTitle="Load Identifier" error="Enter&#10;C - Continous Load&#10;D - Receptacle Load*&#10;G - General Load&#10;K - Kitchen Load&#10;M - Motor Load&#10;&#10;* Receptacle loads may not be used on 3-Phase Delta Power Leg or when no Neutral Conductor is present." sqref="G29 G32 G35 G38 G41 G44 G47 G50 G53 G56 G59 G62 G65 G68 K29 K32 K35 K38 K41 K44 K47 K50 K53 K56 K59 K62 K65 K68">
      <formula1>IF(AND(G29="D",$H$10="NONE"),FALSE,IF(G29="G",TRUE,IF(AND(G29="D",$H$8="3Y"),TRUE,IF(AND(G29="D",$H$8=1),TRUE,IF(G29="C",TRUE,IF(G29="M",TRUE,IF(G29="K",TRUE,FALSE)))))))</formula1>
    </dataValidation>
    <dataValidation type="custom" showErrorMessage="1" errorTitle="Line to Neutral Identifier" error="If this is a 1-Pole Breaker with Line to Neutral Load enter N&#10;&#10;Otherwise enter a Space&#10;&#10;NOTE: If this is a 3-Phase Delta Panel you must enter a Spcae" sqref="E29 E32 E35 E38 E41 E44 E47 E50 E53 E56 E59 E62 E65 E68">
      <formula1>IF(AND($H$10="AUTO",$H$8="3D",E29=" "),TRUE,IF(AND($H$10="AUTO",$H$8&lt;&gt;"3D",OR(E29=" ",E29="N")),TRUE,FALSE))</formula1>
    </dataValidation>
    <dataValidation type="custom" showErrorMessage="1" errorTitle="Line to Neutral Identifier" error="If this is a 1-Pole Breaker with Line to Neutral Load enter N&#10;&#10;Otherwise enter a Space" sqref="E28 E30:E31 E33:E34 E36:E37 E39:E40 E42:E43 E45:E46 E48:E49 E51:E52 E54:E55 E57:E58 E60:E61 E63:E64 E66:E67 E69">
      <formula1>IF(AND($H$10="AUTO",OR(E28="N",E28=" ")),TRUE,FALSE)</formula1>
    </dataValidation>
    <dataValidation type="custom" allowBlank="1" showInputMessage="1" showErrorMessage="1" errorTitle="Line to Neutral Identifier" error="If this is a 1-Pole Breaker with Line to Neutral Load enter N&#10;&#10;Otherwise enter a Space" sqref="M28 M30:M31 M33:M34 M36:M37 M39:M40 M42:M43 M45:M46 M48:M49 M51:M52 M54:M55 M57:M58 M60:M61 M63:M64 M66:M67 M69">
      <formula1>IF(AND($H$10="AUTO",OR(M28="N",M28=" ")),TRUE,FALSE)</formula1>
    </dataValidation>
    <dataValidation type="custom" allowBlank="1" showInputMessage="1" showErrorMessage="1" errorTitle="Line to Neutral Identifier" error="If this is a 1-Pole Breaker with Line to Neutral Load enter N&#10;&#10;Otherwise enter a Space&#10;&#10;NOTE: If this is a 3-Phase Delta Panel you must enter a Spcae" sqref="M29 M32 M35 M38 M41 M44 M47 M50 M53 M56 M59 M62 M65 M68">
      <formula1>IF(AND($H$10="AUTO",$H$8="3D",M29=" "),TRUE,IF(AND($H$10="AUTO",$H$8&lt;&gt;"3D",OR(M29=" ",M29="N")),TRUE,FALSE))</formula1>
    </dataValidation>
    <dataValidation allowBlank="1" showInputMessage="1" showErrorMessage="1" error="Enter Panel Name" prompt="Enter Panel Name" sqref="D3"/>
    <dataValidation type="whole" allowBlank="1" showInputMessage="1" showErrorMessage="1" error="Enter a whole number between 0 and 100" prompt="Enter&#10;% Factor&#10;for (L2)" sqref="H22">
      <formula1>0</formula1>
      <formula2>100</formula2>
    </dataValidation>
    <dataValidation type="whole" showInputMessage="1" showErrorMessage="1" error="Entry may not be less than zero&#10;or more than 1,200 amps." prompt="Enter&#10;Minimum&#10;Amps&#10;for (L2)" sqref="H19">
      <formula1>0</formula1>
      <formula2>1200</formula2>
    </dataValidation>
    <dataValidation allowBlank="1" showInputMessage="1" showErrorMessage="1" error="Enter Source" prompt="Enter Source" sqref="D4"/>
    <dataValidation type="list" allowBlank="1" showInputMessage="1" showErrorMessage="1" error="Select Feeder Type" prompt="Select Feeder Type" sqref="H9">
      <formula1>"CONDUIT,SER,MC,ROMEX"</formula1>
    </dataValidation>
  </dataValidations>
  <pageMargins left="0.5" right="0" top="0.25" bottom="0" header="0" footer="0"/>
  <pageSetup scale="95" orientation="portrait" horizontalDpi="4294967292" r:id="rId1"/>
  <headerFooter alignWithMargins="0"/>
  <rowBreaks count="1" manualBreakCount="1">
    <brk id="56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13"/>
  <sheetViews>
    <sheetView showGridLines="0" showRowColHeaders="0" showOutlineSymbols="0" workbookViewId="0"/>
  </sheetViews>
  <sheetFormatPr defaultColWidth="0" defaultRowHeight="12" customHeight="1" zeroHeight="1"/>
  <cols>
    <col min="1" max="1" width="2.33203125" style="1" customWidth="1"/>
    <col min="2" max="2" width="3.83203125" style="1" customWidth="1"/>
    <col min="3" max="3" width="11.83203125" style="1" customWidth="1"/>
    <col min="4" max="4" width="24.83203125" style="1" customWidth="1"/>
    <col min="5" max="7" width="2.83203125" style="1" customWidth="1"/>
    <col min="8" max="8" width="8.83203125" style="1" customWidth="1"/>
    <col min="9" max="9" width="3.83203125" style="1" customWidth="1"/>
    <col min="10" max="10" width="8.83203125" style="1" customWidth="1"/>
    <col min="11" max="13" width="2.83203125" style="1" customWidth="1"/>
    <col min="14" max="14" width="24.83203125" style="1" customWidth="1"/>
    <col min="15" max="15" width="11.83203125" style="1" customWidth="1"/>
    <col min="16" max="16" width="3.83203125" style="1" customWidth="1"/>
    <col min="17" max="17" width="2.33203125" style="1" customWidth="1"/>
    <col min="18" max="237" width="10.83203125" style="1" hidden="1" customWidth="1"/>
    <col min="238" max="16384" width="0" style="1" hidden="1"/>
  </cols>
  <sheetData>
    <row r="1" spans="2:20" ht="12" customHeight="1">
      <c r="C1" s="1" t="str">
        <f>IF(S4=999,"THIS SUB PANEL IS NOT BEING USED",IF(S4=888,"ERROR IN MAIN PANEL",IF(S4=777,"ERROR IN HOUSE PANEL",IF(S4&gt;0,"PANEL SCHEDULE WILL NOT DISPLAY UNTIL ALL ERRORS ARE CORRECTED"," "))))</f>
        <v>THIS SUB PANEL IS NOT BEING USED</v>
      </c>
    </row>
    <row r="2" spans="2:20" ht="12" customHeight="1">
      <c r="B2" s="2" t="s">
        <v>770</v>
      </c>
      <c r="C2" s="3"/>
      <c r="D2" s="3" t="str">
        <f>IF(ISBLANK('S-Input'!D3)=TRUE," ",'S-Input'!D3)</f>
        <v>HP2</v>
      </c>
      <c r="E2" s="3"/>
      <c r="F2" s="4"/>
      <c r="G2" s="497"/>
      <c r="H2" s="4"/>
      <c r="I2" s="3"/>
      <c r="J2" s="494"/>
      <c r="K2" s="3" t="str">
        <f>'S-Input'!K9</f>
        <v>FEEDER</v>
      </c>
      <c r="L2" s="3"/>
      <c r="M2" s="3"/>
      <c r="N2" s="6"/>
      <c r="O2" s="7"/>
      <c r="P2" s="5"/>
      <c r="S2" s="1" t="s">
        <v>25</v>
      </c>
    </row>
    <row r="3" spans="2:20" ht="12" customHeight="1">
      <c r="B3" s="8" t="s">
        <v>6</v>
      </c>
      <c r="C3" s="3"/>
      <c r="D3" s="3" t="str">
        <f>IF(ISBLANK('S-Input'!D4)=TRUE," ",'S-Input'!D4)</f>
        <v>CP1</v>
      </c>
      <c r="E3" s="3"/>
      <c r="F3" s="9"/>
      <c r="G3" s="497"/>
      <c r="H3" s="10"/>
      <c r="I3" s="3"/>
      <c r="J3" s="494"/>
      <c r="K3" s="3" t="str">
        <f>'S-Input'!K10</f>
        <v>NUMBER OF CABLES</v>
      </c>
      <c r="L3" s="3"/>
      <c r="M3" s="3"/>
      <c r="N3" s="6"/>
      <c r="O3" s="7">
        <f>'S-Input'!O10</f>
        <v>1</v>
      </c>
      <c r="P3" s="5"/>
      <c r="S3" s="1" t="s">
        <v>3</v>
      </c>
    </row>
    <row r="4" spans="2:20" ht="12" customHeight="1">
      <c r="B4" s="2" t="s">
        <v>1</v>
      </c>
      <c r="C4" s="3"/>
      <c r="D4" s="497"/>
      <c r="E4" s="497"/>
      <c r="F4" s="4"/>
      <c r="G4" s="4"/>
      <c r="H4" s="125">
        <f>IF(ISBLANK('S-Input'!H5)=TRUE," ",'S-Input'!H5)</f>
        <v>84</v>
      </c>
      <c r="I4" s="3"/>
      <c r="J4" s="494"/>
      <c r="K4" s="3" t="str">
        <f>'S-Input'!K11</f>
        <v>FEEDER CABLE</v>
      </c>
      <c r="L4" s="3"/>
      <c r="M4" s="3"/>
      <c r="N4" s="6"/>
      <c r="O4" s="7" t="str">
        <f>'S-Input'!O11</f>
        <v xml:space="preserve"> SER CABLE</v>
      </c>
      <c r="P4" s="5"/>
      <c r="S4" s="16">
        <f>IF('S-Input'!S4="NONE",999,IF(Input!O6="ERROR",777,'S-Input'!CF14))</f>
        <v>999</v>
      </c>
    </row>
    <row r="5" spans="2:20" ht="12" customHeight="1">
      <c r="B5" s="8" t="s">
        <v>10</v>
      </c>
      <c r="C5" s="3"/>
      <c r="D5" s="497"/>
      <c r="E5" s="497"/>
      <c r="F5" s="4"/>
      <c r="G5" s="4"/>
      <c r="H5" s="125">
        <f>IF(ISBLANK('S-Input'!H6)=TRUE," ",'S-Input'!H6)</f>
        <v>240</v>
      </c>
      <c r="I5" s="3"/>
      <c r="J5" s="494"/>
      <c r="K5" s="3" t="str">
        <f>'S-Input'!K12</f>
        <v>WIRE SIZE  L1</v>
      </c>
      <c r="L5" s="3"/>
      <c r="M5" s="3"/>
      <c r="N5" s="6"/>
      <c r="O5" s="7" t="str">
        <f>'S-Input'!O12</f>
        <v>#6</v>
      </c>
      <c r="P5" s="5"/>
    </row>
    <row r="6" spans="2:20" ht="12" customHeight="1">
      <c r="B6" s="8" t="s">
        <v>16</v>
      </c>
      <c r="C6" s="3"/>
      <c r="D6" s="497"/>
      <c r="E6" s="497"/>
      <c r="F6" s="4"/>
      <c r="G6" s="4"/>
      <c r="H6" s="125">
        <f>IF(ISBLANK('S-Input'!H7)=TRUE," ",'S-Input'!H7)</f>
        <v>120</v>
      </c>
      <c r="I6" s="3"/>
      <c r="J6" s="494"/>
      <c r="K6" s="3" t="str">
        <f>'S-Input'!K13</f>
        <v>WIRE SIZE  L2</v>
      </c>
      <c r="L6" s="3"/>
      <c r="M6" s="3"/>
      <c r="N6" s="6"/>
      <c r="O6" s="7" t="str">
        <f>'S-Input'!O13</f>
        <v>#6</v>
      </c>
      <c r="P6" s="5"/>
    </row>
    <row r="7" spans="2:20" ht="12" customHeight="1">
      <c r="B7" s="8" t="s">
        <v>21</v>
      </c>
      <c r="C7" s="3"/>
      <c r="D7" s="497"/>
      <c r="E7" s="497"/>
      <c r="F7" s="4"/>
      <c r="G7" s="4"/>
      <c r="H7" s="125">
        <f>IF(ISBLANK('S-Input'!H8)=TRUE," ",'S-Input'!H8)</f>
        <v>1</v>
      </c>
      <c r="I7" s="3"/>
      <c r="J7" s="495"/>
      <c r="K7" s="3" t="str">
        <f>'S-Input'!K14</f>
        <v xml:space="preserve"> </v>
      </c>
      <c r="L7" s="3"/>
      <c r="M7" s="3"/>
      <c r="N7" s="6"/>
      <c r="O7" s="7" t="str">
        <f>IF(K7=" "," ",'S-Input'!O14)</f>
        <v xml:space="preserve"> </v>
      </c>
      <c r="P7" s="5"/>
      <c r="S7" s="1" t="s">
        <v>765</v>
      </c>
      <c r="T7" s="1" t="str">
        <f>'S-Input'!H24</f>
        <v>Y</v>
      </c>
    </row>
    <row r="8" spans="2:20" ht="12" customHeight="1">
      <c r="B8" s="8" t="s">
        <v>769</v>
      </c>
      <c r="C8" s="3"/>
      <c r="D8" s="497"/>
      <c r="E8" s="497"/>
      <c r="F8" s="4"/>
      <c r="G8" s="4"/>
      <c r="H8" s="125">
        <f>'S-Input'!FN7</f>
        <v>0</v>
      </c>
      <c r="I8" s="3"/>
      <c r="J8" s="495"/>
      <c r="K8" s="3" t="str">
        <f>'S-Input'!K15</f>
        <v>WIRE SIZE NEUTRAL</v>
      </c>
      <c r="L8" s="3"/>
      <c r="M8" s="3"/>
      <c r="N8" s="6"/>
      <c r="O8" s="7" t="str">
        <f>'S-Input'!O15</f>
        <v>#6</v>
      </c>
      <c r="P8" s="5"/>
      <c r="S8" s="1" t="s">
        <v>529</v>
      </c>
      <c r="T8" s="1">
        <f>'S-Input'!H10</f>
        <v>0</v>
      </c>
    </row>
    <row r="9" spans="2:20" ht="12" customHeight="1">
      <c r="B9" s="8" t="s">
        <v>766</v>
      </c>
      <c r="C9" s="3"/>
      <c r="D9" s="497"/>
      <c r="E9" s="497"/>
      <c r="F9" s="4"/>
      <c r="G9" s="4"/>
      <c r="H9" s="125" t="str">
        <f>IF('S-Input'!H11="NONE","NONE","YES")</f>
        <v>YES</v>
      </c>
      <c r="I9" s="3"/>
      <c r="J9" s="495"/>
      <c r="K9" s="3" t="str">
        <f>'S-Input'!K16</f>
        <v>WIRE SIZE GROUND</v>
      </c>
      <c r="L9" s="3"/>
      <c r="M9" s="3"/>
      <c r="N9" s="6"/>
      <c r="O9" s="7" t="str">
        <f>'S-Input'!O16</f>
        <v>#6</v>
      </c>
      <c r="P9" s="5"/>
    </row>
    <row r="10" spans="2:20" ht="12" customHeight="1">
      <c r="B10" s="8" t="s">
        <v>767</v>
      </c>
      <c r="C10" s="3"/>
      <c r="D10" s="497"/>
      <c r="E10" s="497"/>
      <c r="F10" s="4"/>
      <c r="G10" s="4"/>
      <c r="H10" s="125" t="str">
        <f>IF('S-Input'!H13="N","NONE","YES")</f>
        <v>YES</v>
      </c>
      <c r="I10" s="3"/>
      <c r="J10" s="495"/>
      <c r="K10" s="3"/>
      <c r="L10" s="3"/>
      <c r="M10" s="3"/>
      <c r="N10" s="6"/>
      <c r="O10" s="7"/>
      <c r="P10" s="5"/>
    </row>
    <row r="11" spans="2:20" ht="12" customHeight="1">
      <c r="B11" s="8" t="str">
        <f>IF('S-Input'!S6="NO"," ","AVAILABLE FAULT CURRENT AT THIS PANEL")</f>
        <v>AVAILABLE FAULT CURRENT AT THIS PANEL</v>
      </c>
      <c r="C11" s="3"/>
      <c r="D11" s="497"/>
      <c r="E11" s="497"/>
      <c r="F11" s="4"/>
      <c r="G11" s="4"/>
      <c r="H11" s="125" t="str">
        <f>IF('S-Input'!S6="NO"," ",'S-Input'!O7)</f>
        <v>2,892</v>
      </c>
      <c r="I11" s="3"/>
      <c r="J11" s="495"/>
      <c r="K11" s="3"/>
      <c r="L11" s="3"/>
      <c r="M11" s="3"/>
      <c r="N11" s="3"/>
      <c r="O11" s="7"/>
      <c r="P11" s="5"/>
    </row>
    <row r="12" spans="2:20" ht="12" customHeight="1">
      <c r="B12" s="8" t="str">
        <f>IF(T7="N","MAIN LUG ONLY",IF('S-Input'!CZ54&lt;&gt;'S-Input'!CZ55,"FUSE SIZE AMPS ( L1 &amp; L3 )","MAIN BREAKER SIZE AMPS"))</f>
        <v>MAIN BREAKER SIZE AMPS</v>
      </c>
      <c r="C12" s="3"/>
      <c r="D12" s="497"/>
      <c r="E12" s="497"/>
      <c r="F12" s="4"/>
      <c r="G12" s="4"/>
      <c r="H12" s="125">
        <f>IF(T7="N"," ",IF('S-Input'!CZ54&lt;&gt;'S-Input'!CZ55,'S-Input'!H25,'S-Input'!H25))</f>
        <v>60</v>
      </c>
      <c r="I12" s="3"/>
      <c r="J12" s="495"/>
      <c r="K12" s="3" t="str">
        <f>IF(ISBLANK('S-Input'!K18)=TRUE," ",'S-Input'!K18)</f>
        <v xml:space="preserve"> </v>
      </c>
      <c r="L12" s="3"/>
      <c r="M12" s="3"/>
      <c r="N12" s="3"/>
      <c r="O12" s="4"/>
      <c r="P12" s="5"/>
      <c r="S12" s="1" t="s">
        <v>577</v>
      </c>
    </row>
    <row r="13" spans="2:20" ht="12" customHeight="1">
      <c r="B13" s="12" t="str">
        <f>IF(T7="N"," ",IF('S-Input'!CZ54&lt;&gt;'S-Input'!CZ55,"FUSE SIZE AMPS ( L2 )"," "))</f>
        <v xml:space="preserve"> </v>
      </c>
      <c r="C13" s="3"/>
      <c r="D13" s="497"/>
      <c r="E13" s="497"/>
      <c r="F13" s="4"/>
      <c r="G13" s="4"/>
      <c r="H13" s="125" t="str">
        <f>IF(T7="N"," ",IF('S-Input'!CZ54&lt;&gt;'S-Input'!CZ55,'S-Input'!H26," "))</f>
        <v xml:space="preserve"> </v>
      </c>
      <c r="I13" s="3"/>
      <c r="J13" s="495"/>
      <c r="K13" s="3" t="str">
        <f>IF(ISBLANK('S-Input'!K19)=TRUE," ",'S-Input'!K19)</f>
        <v xml:space="preserve"> </v>
      </c>
      <c r="L13" s="3"/>
      <c r="M13" s="3"/>
      <c r="N13" s="3"/>
      <c r="O13" s="4"/>
      <c r="P13" s="5"/>
      <c r="S13" s="1">
        <f>'S-Input'!X15</f>
        <v>0</v>
      </c>
    </row>
    <row r="14" spans="2:20" ht="12" customHeight="1">
      <c r="B14" s="8"/>
      <c r="C14" s="4"/>
      <c r="D14" s="497"/>
      <c r="E14" s="497"/>
      <c r="F14" s="4"/>
      <c r="G14" s="4"/>
      <c r="H14" s="125"/>
      <c r="I14" s="3"/>
      <c r="J14" s="495"/>
      <c r="K14" s="3" t="str">
        <f>IF(ISBLANK('S-Input'!K20)=TRUE," ",'S-Input'!K20)</f>
        <v xml:space="preserve"> </v>
      </c>
      <c r="L14" s="3"/>
      <c r="M14" s="3"/>
      <c r="N14" s="3"/>
      <c r="O14" s="4"/>
      <c r="P14" s="5"/>
    </row>
    <row r="15" spans="2:20" ht="12" customHeight="1">
      <c r="B15" s="8"/>
      <c r="C15" s="4"/>
      <c r="D15" s="497"/>
      <c r="E15" s="497"/>
      <c r="F15" s="4"/>
      <c r="G15" s="4"/>
      <c r="H15" s="125"/>
      <c r="I15" s="3"/>
      <c r="J15" s="495"/>
      <c r="K15" s="3" t="str">
        <f>IF(ISBLANK('S-Input'!K21)=TRUE," ",'S-Input'!K21)</f>
        <v xml:space="preserve"> </v>
      </c>
      <c r="L15" s="3"/>
      <c r="M15" s="3"/>
      <c r="N15" s="3"/>
      <c r="O15" s="4"/>
      <c r="P15" s="5"/>
    </row>
    <row r="16" spans="2:20" ht="12" customHeight="1">
      <c r="B16" s="8"/>
      <c r="C16" s="4"/>
      <c r="D16" s="497"/>
      <c r="E16" s="497"/>
      <c r="F16" s="4"/>
      <c r="G16" s="4"/>
      <c r="H16" s="125"/>
      <c r="I16" s="3"/>
      <c r="J16" s="495"/>
      <c r="K16" s="3" t="str">
        <f>IF(ISBLANK('S-Input'!K22)=TRUE," ",'S-Input'!K22)</f>
        <v xml:space="preserve"> </v>
      </c>
      <c r="L16" s="3"/>
      <c r="M16" s="3"/>
      <c r="N16" s="3"/>
      <c r="O16" s="4"/>
      <c r="P16" s="5"/>
    </row>
    <row r="17" spans="2:18" ht="12" customHeight="1">
      <c r="B17" s="8"/>
      <c r="C17" s="4"/>
      <c r="D17" s="497"/>
      <c r="E17" s="497"/>
      <c r="F17" s="4"/>
      <c r="G17" s="4"/>
      <c r="H17" s="125"/>
      <c r="I17" s="3"/>
      <c r="J17" s="495"/>
      <c r="K17" s="3" t="str">
        <f>IF(ISBLANK('S-Input'!K23)=TRUE," ",'S-Input'!K23)</f>
        <v xml:space="preserve"> </v>
      </c>
      <c r="L17" s="3"/>
      <c r="M17" s="3"/>
      <c r="N17" s="3"/>
      <c r="O17" s="4"/>
      <c r="P17" s="5"/>
    </row>
    <row r="18" spans="2:18" ht="12" customHeight="1">
      <c r="B18" s="8"/>
      <c r="C18" s="4"/>
      <c r="D18" s="497"/>
      <c r="E18" s="497"/>
      <c r="F18" s="4"/>
      <c r="G18" s="4"/>
      <c r="H18" s="125"/>
      <c r="I18" s="3"/>
      <c r="J18" s="495"/>
      <c r="K18" s="3" t="str">
        <f>IF(ISBLANK('S-Input'!K24)=TRUE," ",'S-Input'!K24)</f>
        <v xml:space="preserve"> </v>
      </c>
      <c r="L18" s="3"/>
      <c r="M18" s="3"/>
      <c r="N18" s="3"/>
      <c r="O18" s="4"/>
      <c r="P18" s="5"/>
    </row>
    <row r="19" spans="2:18" ht="12" customHeight="1">
      <c r="B19" s="8"/>
      <c r="C19" s="4"/>
      <c r="D19" s="497"/>
      <c r="E19" s="497"/>
      <c r="F19" s="4"/>
      <c r="G19" s="4"/>
      <c r="H19" s="125"/>
      <c r="I19" s="3"/>
      <c r="J19" s="495"/>
      <c r="K19" s="3" t="str">
        <f>IF(ISBLANK('S-Input'!K25)=TRUE," ",'S-Input'!K25)</f>
        <v xml:space="preserve"> </v>
      </c>
      <c r="L19" s="3"/>
      <c r="M19" s="3"/>
      <c r="N19" s="3"/>
      <c r="O19" s="3"/>
      <c r="P19" s="5"/>
    </row>
    <row r="20" spans="2:18" ht="12" customHeight="1">
      <c r="B20" s="8"/>
      <c r="C20" s="4"/>
      <c r="D20" s="497"/>
      <c r="E20" s="497"/>
      <c r="F20" s="4"/>
      <c r="G20" s="4"/>
      <c r="H20" s="125"/>
      <c r="I20" s="3"/>
      <c r="J20" s="495"/>
      <c r="K20" s="3" t="str">
        <f>IF(ISBLANK('S-Input'!K26)=TRUE," ",'S-Input'!K26)</f>
        <v xml:space="preserve"> </v>
      </c>
      <c r="L20" s="3"/>
      <c r="M20" s="3"/>
      <c r="N20" s="3"/>
      <c r="O20" s="3"/>
      <c r="P20" s="5"/>
    </row>
    <row r="21" spans="2:18" ht="12" customHeight="1">
      <c r="B21" s="14" t="str">
        <f>'S-Input'!B27</f>
        <v xml:space="preserve"> 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5" t="str">
        <f>'S-Input'!P27</f>
        <v xml:space="preserve"> </v>
      </c>
      <c r="R21" s="16"/>
    </row>
    <row r="22" spans="2:18" ht="12" customHeight="1">
      <c r="B22" s="17" t="s">
        <v>88</v>
      </c>
      <c r="C22" s="18" t="s">
        <v>89</v>
      </c>
      <c r="D22" s="19" t="s">
        <v>52</v>
      </c>
      <c r="E22" s="18" t="str">
        <f>'S-Input'!E28</f>
        <v xml:space="preserve"> </v>
      </c>
      <c r="F22" s="18" t="str">
        <f>IF($H$7="3Y","H"," ")</f>
        <v xml:space="preserve"> </v>
      </c>
      <c r="G22" s="18" t="s">
        <v>54</v>
      </c>
      <c r="H22" s="20" t="s">
        <v>90</v>
      </c>
      <c r="I22" s="21"/>
      <c r="J22" s="21" t="s">
        <v>90</v>
      </c>
      <c r="K22" s="18" t="s">
        <v>54</v>
      </c>
      <c r="L22" s="18" t="str">
        <f>IF($H$7="3Y","H"," ")</f>
        <v xml:space="preserve"> </v>
      </c>
      <c r="M22" s="18" t="str">
        <f>'S-Input'!M28</f>
        <v xml:space="preserve"> </v>
      </c>
      <c r="N22" s="19" t="s">
        <v>52</v>
      </c>
      <c r="O22" s="18" t="s">
        <v>89</v>
      </c>
      <c r="P22" s="17" t="s">
        <v>88</v>
      </c>
    </row>
    <row r="23" spans="2:18" ht="12" customHeight="1">
      <c r="B23" s="17">
        <v>1</v>
      </c>
      <c r="C23" s="18" t="str">
        <f>IF(ISBLANK('S-Input'!C29)=TRUE," ",'S-Input'!C29)</f>
        <v xml:space="preserve"> </v>
      </c>
      <c r="D23" s="19" t="str">
        <f>IF(ISBLANK('S-Input'!D29)=TRUE," ",'S-Input'!D29)</f>
        <v xml:space="preserve"> </v>
      </c>
      <c r="E23" s="496" t="str">
        <f>IF(ISBLANK('S-Input'!E29)=TRUE," ",IF($H$13&lt;&gt;"AUTO"," ",'S-Input'!E29))</f>
        <v xml:space="preserve"> </v>
      </c>
      <c r="F23" s="18" t="str">
        <f>IF(ISBLANK('S-Input'!F29)=TRUE," ",IF($H$7="3Y",'S-Input'!F29," "))</f>
        <v xml:space="preserve"> </v>
      </c>
      <c r="G23" s="18" t="str">
        <f>IF(ISBLANK('S-Input'!G29)=TRUE," ",'S-Input'!G29)</f>
        <v>G</v>
      </c>
      <c r="H23" s="20" t="str">
        <f>IF(ISBLANK('S-Input'!H29)=TRUE," ",'S-Input'!H29)</f>
        <v xml:space="preserve"> </v>
      </c>
      <c r="I23" s="21" t="str">
        <f>'S-Input'!I29</f>
        <v>L1</v>
      </c>
      <c r="J23" s="20">
        <f>IF(ISBLANK('S-Input'!J29)=TRUE," ",'S-Input'!J29)</f>
        <v>1100</v>
      </c>
      <c r="K23" s="18" t="str">
        <f>IF(ISBLANK('S-Input'!K29)=TRUE," ",'S-Input'!K29)</f>
        <v>G</v>
      </c>
      <c r="L23" s="18" t="str">
        <f>IF(ISBLANK('S-Input'!L29)=TRUE," ",IF($H$7="3Y",'S-Input'!L29," "))</f>
        <v xml:space="preserve"> </v>
      </c>
      <c r="M23" s="496" t="str">
        <f>IF(ISBLANK('S-Input'!M29)=TRUE," ",IF($H$13&lt;&gt;"AUTO"," ",'S-Input'!M29))</f>
        <v xml:space="preserve"> </v>
      </c>
      <c r="N23" s="19" t="str">
        <f>IF(ISBLANK('S-Input'!N29)=TRUE," ",'S-Input'!N29)</f>
        <v>LIGHTS</v>
      </c>
      <c r="O23" s="18" t="str">
        <f>IF(ISBLANK('S-Input'!O29)=TRUE," ",'S-Input'!O29)</f>
        <v>20A-1P</v>
      </c>
      <c r="P23" s="17">
        <v>2</v>
      </c>
      <c r="R23" s="1">
        <f>'S-Input'!T29</f>
        <v>0</v>
      </c>
    </row>
    <row r="24" spans="2:18" ht="12" customHeight="1">
      <c r="B24" s="17">
        <v>3</v>
      </c>
      <c r="C24" s="18" t="str">
        <f>IF(ISBLANK('S-Input'!C30)=TRUE," ",'S-Input'!C30)</f>
        <v xml:space="preserve"> </v>
      </c>
      <c r="D24" s="19" t="str">
        <f>IF(ISBLANK('S-Input'!D30)=TRUE," ",'S-Input'!D30)</f>
        <v xml:space="preserve"> </v>
      </c>
      <c r="E24" s="496" t="str">
        <f>IF(ISBLANK('S-Input'!E30)=TRUE," ",IF($H$13&lt;&gt;"AUTO"," ",'S-Input'!E30))</f>
        <v xml:space="preserve"> </v>
      </c>
      <c r="F24" s="18" t="str">
        <f>IF(ISBLANK('S-Input'!F30)=TRUE," ",IF($H$7="3Y",'S-Input'!F30," "))</f>
        <v xml:space="preserve"> </v>
      </c>
      <c r="G24" s="18" t="str">
        <f>IF(ISBLANK('S-Input'!G30)=TRUE," ",'S-Input'!G30)</f>
        <v>G</v>
      </c>
      <c r="H24" s="20" t="str">
        <f>IF(ISBLANK('S-Input'!H30)=TRUE," ",'S-Input'!H30)</f>
        <v xml:space="preserve"> </v>
      </c>
      <c r="I24" s="21" t="str">
        <f>'S-Input'!I30</f>
        <v>L2</v>
      </c>
      <c r="J24" s="20">
        <f>IF(ISBLANK('S-Input'!J30)=TRUE," ",'S-Input'!J30)</f>
        <v>1100</v>
      </c>
      <c r="K24" s="18" t="str">
        <f>IF(ISBLANK('S-Input'!K30)=TRUE," ",'S-Input'!K30)</f>
        <v>G</v>
      </c>
      <c r="L24" s="18" t="str">
        <f>IF(ISBLANK('S-Input'!L30)=TRUE," ",IF($H$7="3Y",'S-Input'!L30," "))</f>
        <v xml:space="preserve"> </v>
      </c>
      <c r="M24" s="496" t="str">
        <f>IF(ISBLANK('S-Input'!M30)=TRUE," ",IF($H$13&lt;&gt;"AUTO"," ",'S-Input'!M30))</f>
        <v xml:space="preserve"> </v>
      </c>
      <c r="N24" s="19" t="str">
        <f>IF(ISBLANK('S-Input'!N30)=TRUE," ",'S-Input'!N30)</f>
        <v>LIGHTS</v>
      </c>
      <c r="O24" s="18" t="str">
        <f>IF(ISBLANK('S-Input'!O30)=TRUE," ",'S-Input'!O30)</f>
        <v>20A-1P</v>
      </c>
      <c r="P24" s="17">
        <v>4</v>
      </c>
      <c r="R24" s="1">
        <f>'S-Input'!T30</f>
        <v>0</v>
      </c>
    </row>
    <row r="25" spans="2:18" ht="12" customHeight="1">
      <c r="B25" s="17">
        <v>5</v>
      </c>
      <c r="C25" s="18" t="str">
        <f>IF(ISBLANK('S-Input'!C31)=TRUE," ",'S-Input'!C31)</f>
        <v xml:space="preserve"> </v>
      </c>
      <c r="D25" s="19" t="str">
        <f>IF(ISBLANK('S-Input'!D31)=TRUE," ",'S-Input'!D31)</f>
        <v xml:space="preserve"> </v>
      </c>
      <c r="E25" s="496" t="str">
        <f>IF(ISBLANK('S-Input'!E31)=TRUE," ",IF($H$13&lt;&gt;"AUTO"," ",'S-Input'!E31))</f>
        <v xml:space="preserve"> </v>
      </c>
      <c r="F25" s="18" t="str">
        <f>IF(ISBLANK('S-Input'!F31)=TRUE," ",IF($H$7="3Y",'S-Input'!F31," "))</f>
        <v xml:space="preserve"> </v>
      </c>
      <c r="G25" s="18" t="str">
        <f>IF(ISBLANK('S-Input'!G31)=TRUE," ",'S-Input'!G31)</f>
        <v>G</v>
      </c>
      <c r="H25" s="20" t="str">
        <f>IF(ISBLANK('S-Input'!H31)=TRUE," ",'S-Input'!H31)</f>
        <v xml:space="preserve"> </v>
      </c>
      <c r="I25" s="21" t="str">
        <f>'S-Input'!I31</f>
        <v>L1</v>
      </c>
      <c r="J25" s="20">
        <f>IF(ISBLANK('S-Input'!J31)=TRUE," ",'S-Input'!J31)</f>
        <v>1100</v>
      </c>
      <c r="K25" s="18" t="str">
        <f>IF(ISBLANK('S-Input'!K31)=TRUE," ",'S-Input'!K31)</f>
        <v>G</v>
      </c>
      <c r="L25" s="18" t="str">
        <f>IF(ISBLANK('S-Input'!L31)=TRUE," ",IF($H$7="3Y",'S-Input'!L31," "))</f>
        <v xml:space="preserve"> </v>
      </c>
      <c r="M25" s="496" t="str">
        <f>IF(ISBLANK('S-Input'!M31)=TRUE," ",IF($H$13&lt;&gt;"AUTO"," ",'S-Input'!M31))</f>
        <v xml:space="preserve"> </v>
      </c>
      <c r="N25" s="19" t="str">
        <f>IF(ISBLANK('S-Input'!N31)=TRUE," ",'S-Input'!N31)</f>
        <v>LIGHTS</v>
      </c>
      <c r="O25" s="18" t="str">
        <f>IF(ISBLANK('S-Input'!O31)=TRUE," ",'S-Input'!O31)</f>
        <v>20A-1P</v>
      </c>
      <c r="P25" s="17">
        <v>6</v>
      </c>
      <c r="R25" s="1">
        <f>'S-Input'!T31</f>
        <v>0</v>
      </c>
    </row>
    <row r="26" spans="2:18" ht="12" customHeight="1">
      <c r="B26" s="17">
        <v>7</v>
      </c>
      <c r="C26" s="18" t="str">
        <f>IF(ISBLANK('S-Input'!C32)=TRUE," ",'S-Input'!C32)</f>
        <v xml:space="preserve"> </v>
      </c>
      <c r="D26" s="19" t="str">
        <f>IF(ISBLANK('S-Input'!D32)=TRUE," ",'S-Input'!D32)</f>
        <v xml:space="preserve"> </v>
      </c>
      <c r="E26" s="496" t="str">
        <f>IF(ISBLANK('S-Input'!E32)=TRUE," ",IF($H$13&lt;&gt;"AUTO"," ",'S-Input'!E32))</f>
        <v xml:space="preserve"> </v>
      </c>
      <c r="F26" s="18" t="str">
        <f>IF(ISBLANK('S-Input'!F32)=TRUE," ",IF($H$7="3Y",'S-Input'!F32," "))</f>
        <v xml:space="preserve"> </v>
      </c>
      <c r="G26" s="18" t="str">
        <f>IF(ISBLANK('S-Input'!G32)=TRUE," ",'S-Input'!G32)</f>
        <v>G</v>
      </c>
      <c r="H26" s="20" t="str">
        <f>IF(ISBLANK('S-Input'!H32)=TRUE," ",'S-Input'!H32)</f>
        <v xml:space="preserve"> </v>
      </c>
      <c r="I26" s="21" t="str">
        <f>'S-Input'!I32</f>
        <v>L2</v>
      </c>
      <c r="J26" s="20">
        <f>IF(ISBLANK('S-Input'!J32)=TRUE," ",'S-Input'!J32)</f>
        <v>1100</v>
      </c>
      <c r="K26" s="18" t="str">
        <f>IF(ISBLANK('S-Input'!K32)=TRUE," ",'S-Input'!K32)</f>
        <v>G</v>
      </c>
      <c r="L26" s="18" t="str">
        <f>IF(ISBLANK('S-Input'!L32)=TRUE," ",IF($H$7="3Y",'S-Input'!L32," "))</f>
        <v xml:space="preserve"> </v>
      </c>
      <c r="M26" s="496" t="str">
        <f>IF(ISBLANK('S-Input'!M32)=TRUE," ",IF($H$13&lt;&gt;"AUTO"," ",'S-Input'!M32))</f>
        <v xml:space="preserve"> </v>
      </c>
      <c r="N26" s="19" t="str">
        <f>IF(ISBLANK('S-Input'!N32)=TRUE," ",'S-Input'!N32)</f>
        <v>LIGHTS</v>
      </c>
      <c r="O26" s="18" t="str">
        <f>IF(ISBLANK('S-Input'!O32)=TRUE," ",'S-Input'!O32)</f>
        <v>20A-1P</v>
      </c>
      <c r="P26" s="17">
        <v>8</v>
      </c>
      <c r="R26" s="1">
        <f>'S-Input'!T32</f>
        <v>0</v>
      </c>
    </row>
    <row r="27" spans="2:18" ht="12" customHeight="1">
      <c r="B27" s="17">
        <v>9</v>
      </c>
      <c r="C27" s="18" t="str">
        <f>IF(ISBLANK('S-Input'!C33)=TRUE," ",'S-Input'!C33)</f>
        <v xml:space="preserve"> </v>
      </c>
      <c r="D27" s="19" t="str">
        <f>IF(ISBLANK('S-Input'!D33)=TRUE," ",'S-Input'!D33)</f>
        <v xml:space="preserve"> </v>
      </c>
      <c r="E27" s="496" t="str">
        <f>IF(ISBLANK('S-Input'!E33)=TRUE," ",IF($H$13&lt;&gt;"AUTO"," ",'S-Input'!E33))</f>
        <v xml:space="preserve"> </v>
      </c>
      <c r="F27" s="18" t="str">
        <f>IF(ISBLANK('S-Input'!F33)=TRUE," ",IF($H$7="3Y",'S-Input'!F33," "))</f>
        <v xml:space="preserve"> </v>
      </c>
      <c r="G27" s="18" t="str">
        <f>IF(ISBLANK('S-Input'!G33)=TRUE," ",'S-Input'!G33)</f>
        <v>G</v>
      </c>
      <c r="H27" s="20" t="str">
        <f>IF(ISBLANK('S-Input'!H33)=TRUE," ",'S-Input'!H33)</f>
        <v xml:space="preserve"> </v>
      </c>
      <c r="I27" s="21" t="str">
        <f>'S-Input'!I33</f>
        <v>L1</v>
      </c>
      <c r="J27" s="20">
        <f>IF(ISBLANK('S-Input'!J33)=TRUE," ",'S-Input'!J33)</f>
        <v>1100</v>
      </c>
      <c r="K27" s="18" t="str">
        <f>IF(ISBLANK('S-Input'!K33)=TRUE," ",'S-Input'!K33)</f>
        <v>G</v>
      </c>
      <c r="L27" s="18" t="str">
        <f>IF(ISBLANK('S-Input'!L33)=TRUE," ",IF($H$7="3Y",'S-Input'!L33," "))</f>
        <v xml:space="preserve"> </v>
      </c>
      <c r="M27" s="496" t="str">
        <f>IF(ISBLANK('S-Input'!M33)=TRUE," ",IF($H$13&lt;&gt;"AUTO"," ",'S-Input'!M33))</f>
        <v xml:space="preserve"> </v>
      </c>
      <c r="N27" s="19" t="str">
        <f>IF(ISBLANK('S-Input'!N33)=TRUE," ",'S-Input'!N33)</f>
        <v>LIGHTS</v>
      </c>
      <c r="O27" s="18" t="str">
        <f>IF(ISBLANK('S-Input'!O33)=TRUE," ",'S-Input'!O33)</f>
        <v>20A-1P</v>
      </c>
      <c r="P27" s="17">
        <v>10</v>
      </c>
      <c r="R27" s="1">
        <f>'S-Input'!T33</f>
        <v>0</v>
      </c>
    </row>
    <row r="28" spans="2:18" ht="12" customHeight="1">
      <c r="B28" s="17">
        <v>11</v>
      </c>
      <c r="C28" s="18" t="str">
        <f>IF(ISBLANK('S-Input'!C34)=TRUE," ",'S-Input'!C34)</f>
        <v xml:space="preserve"> </v>
      </c>
      <c r="D28" s="19" t="str">
        <f>IF(ISBLANK('S-Input'!D34)=TRUE," ",'S-Input'!D34)</f>
        <v>PINK CELLS ARE</v>
      </c>
      <c r="E28" s="496" t="str">
        <f>IF(ISBLANK('S-Input'!E34)=TRUE," ",IF($H$13&lt;&gt;"AUTO"," ",'S-Input'!E34))</f>
        <v xml:space="preserve"> </v>
      </c>
      <c r="F28" s="18" t="str">
        <f>IF(ISBLANK('S-Input'!F34)=TRUE," ",IF($H$7="3Y",'S-Input'!F34," "))</f>
        <v xml:space="preserve"> </v>
      </c>
      <c r="G28" s="18" t="str">
        <f>IF(ISBLANK('S-Input'!G34)=TRUE," ",'S-Input'!G34)</f>
        <v>G</v>
      </c>
      <c r="H28" s="20" t="str">
        <f>IF(ISBLANK('S-Input'!H34)=TRUE," ",'S-Input'!H34)</f>
        <v xml:space="preserve"> </v>
      </c>
      <c r="I28" s="21" t="str">
        <f>'S-Input'!I34</f>
        <v>L2</v>
      </c>
      <c r="J28" s="20">
        <f>IF(ISBLANK('S-Input'!J34)=TRUE," ",'S-Input'!J34)</f>
        <v>1100</v>
      </c>
      <c r="K28" s="18" t="str">
        <f>IF(ISBLANK('S-Input'!K34)=TRUE," ",'S-Input'!K34)</f>
        <v>G</v>
      </c>
      <c r="L28" s="18" t="str">
        <f>IF(ISBLANK('S-Input'!L34)=TRUE," ",IF($H$7="3Y",'S-Input'!L34," "))</f>
        <v xml:space="preserve"> </v>
      </c>
      <c r="M28" s="496" t="str">
        <f>IF(ISBLANK('S-Input'!M34)=TRUE," ",IF($H$13&lt;&gt;"AUTO"," ",'S-Input'!M34))</f>
        <v xml:space="preserve"> </v>
      </c>
      <c r="N28" s="19" t="str">
        <f>IF(ISBLANK('S-Input'!N34)=TRUE," ",'S-Input'!N34)</f>
        <v>LIGHTS</v>
      </c>
      <c r="O28" s="18" t="str">
        <f>IF(ISBLANK('S-Input'!O34)=TRUE," ",'S-Input'!O34)</f>
        <v>20A-1P</v>
      </c>
      <c r="P28" s="17">
        <v>12</v>
      </c>
      <c r="R28" s="1">
        <f>'S-Input'!T34</f>
        <v>0</v>
      </c>
    </row>
    <row r="29" spans="2:18" ht="12" customHeight="1">
      <c r="B29" s="17">
        <v>13</v>
      </c>
      <c r="C29" s="18" t="str">
        <f>IF(ISBLANK('S-Input'!C35)=TRUE," ",'S-Input'!C35)</f>
        <v xml:space="preserve"> </v>
      </c>
      <c r="D29" s="19" t="str">
        <f>IF(ISBLANK('S-Input'!D35)=TRUE," ",'S-Input'!D35)</f>
        <v>PROTECTED IN DEMO</v>
      </c>
      <c r="E29" s="496" t="str">
        <f>IF(ISBLANK('S-Input'!E35)=TRUE," ",IF($H$13&lt;&gt;"AUTO"," ",'S-Input'!E35))</f>
        <v xml:space="preserve"> </v>
      </c>
      <c r="F29" s="18" t="str">
        <f>IF(ISBLANK('S-Input'!F35)=TRUE," ",IF($H$7="3Y",'S-Input'!F35," "))</f>
        <v xml:space="preserve"> </v>
      </c>
      <c r="G29" s="18" t="str">
        <f>IF(ISBLANK('S-Input'!G35)=TRUE," ",'S-Input'!G35)</f>
        <v>G</v>
      </c>
      <c r="H29" s="20" t="str">
        <f>IF(ISBLANK('S-Input'!H35)=TRUE," ",'S-Input'!H35)</f>
        <v xml:space="preserve"> </v>
      </c>
      <c r="I29" s="21" t="str">
        <f>'S-Input'!I35</f>
        <v>L1</v>
      </c>
      <c r="J29" s="20">
        <f>IF(ISBLANK('S-Input'!J35)=TRUE," ",'S-Input'!J35)</f>
        <v>1100</v>
      </c>
      <c r="K29" s="18" t="str">
        <f>IF(ISBLANK('S-Input'!K35)=TRUE," ",'S-Input'!K35)</f>
        <v>G</v>
      </c>
      <c r="L29" s="18" t="str">
        <f>IF(ISBLANK('S-Input'!L35)=TRUE," ",IF($H$7="3Y",'S-Input'!L35," "))</f>
        <v xml:space="preserve"> </v>
      </c>
      <c r="M29" s="496" t="str">
        <f>IF(ISBLANK('S-Input'!M35)=TRUE," ",IF($H$13&lt;&gt;"AUTO"," ",'S-Input'!M35))</f>
        <v xml:space="preserve"> </v>
      </c>
      <c r="N29" s="19" t="str">
        <f>IF(ISBLANK('S-Input'!N35)=TRUE," ",'S-Input'!N35)</f>
        <v>LIGHTS</v>
      </c>
      <c r="O29" s="18" t="str">
        <f>IF(ISBLANK('S-Input'!O35)=TRUE," ",'S-Input'!O35)</f>
        <v>20A-1P</v>
      </c>
      <c r="P29" s="17">
        <v>14</v>
      </c>
      <c r="R29" s="1">
        <f>'S-Input'!T35</f>
        <v>0</v>
      </c>
    </row>
    <row r="30" spans="2:18" ht="12" customHeight="1">
      <c r="B30" s="17">
        <v>15</v>
      </c>
      <c r="C30" s="18" t="str">
        <f>IF(ISBLANK('S-Input'!C36)=TRUE," ",'S-Input'!C36)</f>
        <v xml:space="preserve"> </v>
      </c>
      <c r="D30" s="19" t="str">
        <f>IF(ISBLANK('S-Input'!D36)=TRUE," ",'S-Input'!D36)</f>
        <v xml:space="preserve"> </v>
      </c>
      <c r="E30" s="496" t="str">
        <f>IF(ISBLANK('S-Input'!E36)=TRUE," ",IF($H$13&lt;&gt;"AUTO"," ",'S-Input'!E36))</f>
        <v xml:space="preserve"> </v>
      </c>
      <c r="F30" s="18" t="str">
        <f>IF(ISBLANK('S-Input'!F36)=TRUE," ",IF($H$7="3Y",'S-Input'!F36," "))</f>
        <v xml:space="preserve"> </v>
      </c>
      <c r="G30" s="18" t="str">
        <f>IF(ISBLANK('S-Input'!G36)=TRUE," ",'S-Input'!G36)</f>
        <v>G</v>
      </c>
      <c r="H30" s="20" t="str">
        <f>IF(ISBLANK('S-Input'!H36)=TRUE," ",'S-Input'!H36)</f>
        <v xml:space="preserve"> </v>
      </c>
      <c r="I30" s="21" t="str">
        <f>'S-Input'!I36</f>
        <v>L2</v>
      </c>
      <c r="J30" s="20">
        <f>IF(ISBLANK('S-Input'!J36)=TRUE," ",'S-Input'!J36)</f>
        <v>1100</v>
      </c>
      <c r="K30" s="18" t="str">
        <f>IF(ISBLANK('S-Input'!K36)=TRUE," ",'S-Input'!K36)</f>
        <v>G</v>
      </c>
      <c r="L30" s="18" t="str">
        <f>IF(ISBLANK('S-Input'!L36)=TRUE," ",IF($H$7="3Y",'S-Input'!L36," "))</f>
        <v xml:space="preserve"> </v>
      </c>
      <c r="M30" s="496" t="str">
        <f>IF(ISBLANK('S-Input'!M36)=TRUE," ",IF($H$13&lt;&gt;"AUTO"," ",'S-Input'!M36))</f>
        <v xml:space="preserve"> </v>
      </c>
      <c r="N30" s="19" t="str">
        <f>IF(ISBLANK('S-Input'!N36)=TRUE," ",'S-Input'!N36)</f>
        <v>LIGHTS</v>
      </c>
      <c r="O30" s="18" t="str">
        <f>IF(ISBLANK('S-Input'!O36)=TRUE," ",'S-Input'!O36)</f>
        <v>20A-1P</v>
      </c>
      <c r="P30" s="17">
        <v>16</v>
      </c>
      <c r="R30" s="1">
        <f>'S-Input'!T36</f>
        <v>0</v>
      </c>
    </row>
    <row r="31" spans="2:18" ht="12" customHeight="1">
      <c r="B31" s="17">
        <v>17</v>
      </c>
      <c r="C31" s="18" t="str">
        <f>IF(ISBLANK('S-Input'!C37)=TRUE," ",'S-Input'!C37)</f>
        <v xml:space="preserve"> </v>
      </c>
      <c r="D31" s="19" t="str">
        <f>IF(ISBLANK('S-Input'!D37)=TRUE," ",'S-Input'!D37)</f>
        <v xml:space="preserve"> </v>
      </c>
      <c r="E31" s="496" t="str">
        <f>IF(ISBLANK('S-Input'!E37)=TRUE," ",IF($H$13&lt;&gt;"AUTO"," ",'S-Input'!E37))</f>
        <v xml:space="preserve"> </v>
      </c>
      <c r="F31" s="18" t="str">
        <f>IF(ISBLANK('S-Input'!F37)=TRUE," ",IF($H$7="3Y",'S-Input'!F37," "))</f>
        <v xml:space="preserve"> </v>
      </c>
      <c r="G31" s="18" t="str">
        <f>IF(ISBLANK('S-Input'!G37)=TRUE," ",'S-Input'!G37)</f>
        <v>G</v>
      </c>
      <c r="H31" s="20" t="str">
        <f>IF(ISBLANK('S-Input'!H37)=TRUE," ",'S-Input'!H37)</f>
        <v xml:space="preserve"> </v>
      </c>
      <c r="I31" s="21" t="str">
        <f>'S-Input'!I37</f>
        <v>L1</v>
      </c>
      <c r="J31" s="20">
        <f>IF(ISBLANK('S-Input'!J37)=TRUE," ",'S-Input'!J37)</f>
        <v>1100</v>
      </c>
      <c r="K31" s="18" t="str">
        <f>IF(ISBLANK('S-Input'!K37)=TRUE," ",'S-Input'!K37)</f>
        <v>G</v>
      </c>
      <c r="L31" s="18" t="str">
        <f>IF(ISBLANK('S-Input'!L37)=TRUE," ",IF($H$7="3Y",'S-Input'!L37," "))</f>
        <v xml:space="preserve"> </v>
      </c>
      <c r="M31" s="496" t="str">
        <f>IF(ISBLANK('S-Input'!M37)=TRUE," ",IF($H$13&lt;&gt;"AUTO"," ",'S-Input'!M37))</f>
        <v xml:space="preserve"> </v>
      </c>
      <c r="N31" s="19" t="str">
        <f>IF(ISBLANK('S-Input'!N37)=TRUE," ",'S-Input'!N37)</f>
        <v>LIGHTS</v>
      </c>
      <c r="O31" s="18" t="str">
        <f>IF(ISBLANK('S-Input'!O37)=TRUE," ",'S-Input'!O37)</f>
        <v>20A-1P</v>
      </c>
      <c r="P31" s="17">
        <v>18</v>
      </c>
      <c r="R31" s="1">
        <f>'S-Input'!T37</f>
        <v>0</v>
      </c>
    </row>
    <row r="32" spans="2:18" ht="12" customHeight="1">
      <c r="B32" s="17">
        <v>19</v>
      </c>
      <c r="C32" s="18" t="str">
        <f>IF(ISBLANK('S-Input'!C38)=TRUE," ",'S-Input'!C38)</f>
        <v xml:space="preserve"> </v>
      </c>
      <c r="D32" s="19" t="str">
        <f>IF(ISBLANK('S-Input'!D38)=TRUE," ",'S-Input'!D38)</f>
        <v xml:space="preserve"> </v>
      </c>
      <c r="E32" s="496" t="str">
        <f>IF(ISBLANK('S-Input'!E38)=TRUE," ",IF($H$13&lt;&gt;"AUTO"," ",'S-Input'!E38))</f>
        <v xml:space="preserve"> </v>
      </c>
      <c r="F32" s="18" t="str">
        <f>IF(ISBLANK('S-Input'!F38)=TRUE," ",IF($H$7="3Y",'S-Input'!F38," "))</f>
        <v xml:space="preserve"> </v>
      </c>
      <c r="G32" s="18" t="str">
        <f>IF(ISBLANK('S-Input'!G38)=TRUE," ",'S-Input'!G38)</f>
        <v>G</v>
      </c>
      <c r="H32" s="20" t="str">
        <f>IF(ISBLANK('S-Input'!H38)=TRUE," ",'S-Input'!H38)</f>
        <v xml:space="preserve"> </v>
      </c>
      <c r="I32" s="21" t="str">
        <f>'S-Input'!I38</f>
        <v>L2</v>
      </c>
      <c r="J32" s="20">
        <f>IF(ISBLANK('S-Input'!J38)=TRUE," ",'S-Input'!J38)</f>
        <v>1100</v>
      </c>
      <c r="K32" s="18" t="str">
        <f>IF(ISBLANK('S-Input'!K38)=TRUE," ",'S-Input'!K38)</f>
        <v>G</v>
      </c>
      <c r="L32" s="18" t="str">
        <f>IF(ISBLANK('S-Input'!L38)=TRUE," ",IF($H$7="3Y",'S-Input'!L38," "))</f>
        <v xml:space="preserve"> </v>
      </c>
      <c r="M32" s="496" t="str">
        <f>IF(ISBLANK('S-Input'!M38)=TRUE," ",IF($H$13&lt;&gt;"AUTO"," ",'S-Input'!M38))</f>
        <v xml:space="preserve"> </v>
      </c>
      <c r="N32" s="19" t="str">
        <f>IF(ISBLANK('S-Input'!N38)=TRUE," ",'S-Input'!N38)</f>
        <v>LIGHTS</v>
      </c>
      <c r="O32" s="18" t="str">
        <f>IF(ISBLANK('S-Input'!O38)=TRUE," ",'S-Input'!O38)</f>
        <v>20A-1P</v>
      </c>
      <c r="P32" s="17">
        <v>20</v>
      </c>
      <c r="R32" s="1">
        <f>'S-Input'!T38</f>
        <v>0</v>
      </c>
    </row>
    <row r="33" spans="1:18" ht="12" customHeight="1">
      <c r="B33" s="17">
        <v>21</v>
      </c>
      <c r="C33" s="18" t="str">
        <f>IF(ISBLANK('S-Input'!C39)=TRUE," ",'S-Input'!C39)</f>
        <v xml:space="preserve"> </v>
      </c>
      <c r="D33" s="19" t="str">
        <f>IF(ISBLANK('S-Input'!D39)=TRUE," ",'S-Input'!D39)</f>
        <v xml:space="preserve"> </v>
      </c>
      <c r="E33" s="496" t="str">
        <f>IF(ISBLANK('S-Input'!E39)=TRUE," ",IF($H$13&lt;&gt;"AUTO"," ",'S-Input'!E39))</f>
        <v xml:space="preserve"> </v>
      </c>
      <c r="F33" s="18" t="str">
        <f>IF(ISBLANK('S-Input'!F39)=TRUE," ",IF($H$7="3Y",'S-Input'!F39," "))</f>
        <v xml:space="preserve"> </v>
      </c>
      <c r="G33" s="18" t="str">
        <f>IF(ISBLANK('S-Input'!G39)=TRUE," ",'S-Input'!G39)</f>
        <v>G</v>
      </c>
      <c r="H33" s="20" t="str">
        <f>IF(ISBLANK('S-Input'!H39)=TRUE," ",'S-Input'!H39)</f>
        <v xml:space="preserve"> </v>
      </c>
      <c r="I33" s="21" t="str">
        <f>'S-Input'!I39</f>
        <v>L1</v>
      </c>
      <c r="J33" s="20">
        <f>IF(ISBLANK('S-Input'!J39)=TRUE," ",'S-Input'!J39)</f>
        <v>1100</v>
      </c>
      <c r="K33" s="18" t="str">
        <f>IF(ISBLANK('S-Input'!K39)=TRUE," ",'S-Input'!K39)</f>
        <v>G</v>
      </c>
      <c r="L33" s="18" t="str">
        <f>IF(ISBLANK('S-Input'!L39)=TRUE," ",IF($H$7="3Y",'S-Input'!L39," "))</f>
        <v xml:space="preserve"> </v>
      </c>
      <c r="M33" s="496" t="str">
        <f>IF(ISBLANK('S-Input'!M39)=TRUE," ",IF($H$13&lt;&gt;"AUTO"," ",'S-Input'!M39))</f>
        <v xml:space="preserve"> </v>
      </c>
      <c r="N33" s="19" t="str">
        <f>IF(ISBLANK('S-Input'!N39)=TRUE," ",'S-Input'!N39)</f>
        <v>LIGHTS</v>
      </c>
      <c r="O33" s="18" t="str">
        <f>IF(ISBLANK('S-Input'!O39)=TRUE," ",'S-Input'!O39)</f>
        <v>20A-1P</v>
      </c>
      <c r="P33" s="17">
        <v>22</v>
      </c>
      <c r="R33" s="1">
        <f>'S-Input'!T39</f>
        <v>0</v>
      </c>
    </row>
    <row r="34" spans="1:18" ht="12" customHeight="1">
      <c r="B34" s="17">
        <v>23</v>
      </c>
      <c r="C34" s="18" t="str">
        <f>IF(ISBLANK('S-Input'!C40)=TRUE," ",'S-Input'!C40)</f>
        <v xml:space="preserve"> </v>
      </c>
      <c r="D34" s="19" t="str">
        <f>IF(ISBLANK('S-Input'!D40)=TRUE," ",'S-Input'!D40)</f>
        <v xml:space="preserve"> </v>
      </c>
      <c r="E34" s="496" t="str">
        <f>IF(ISBLANK('S-Input'!E40)=TRUE," ",IF($H$13&lt;&gt;"AUTO"," ",'S-Input'!E40))</f>
        <v xml:space="preserve"> </v>
      </c>
      <c r="F34" s="18" t="str">
        <f>IF(ISBLANK('S-Input'!F40)=TRUE," ",IF($H$7="3Y",'S-Input'!F40," "))</f>
        <v xml:space="preserve"> </v>
      </c>
      <c r="G34" s="18" t="str">
        <f>IF(ISBLANK('S-Input'!G40)=TRUE," ",'S-Input'!G40)</f>
        <v>G</v>
      </c>
      <c r="H34" s="20" t="str">
        <f>IF(ISBLANK('S-Input'!H40)=TRUE," ",'S-Input'!H40)</f>
        <v xml:space="preserve"> </v>
      </c>
      <c r="I34" s="21" t="str">
        <f>'S-Input'!I40</f>
        <v>L2</v>
      </c>
      <c r="J34" s="20">
        <f>IF(ISBLANK('S-Input'!J40)=TRUE," ",'S-Input'!J40)</f>
        <v>1100</v>
      </c>
      <c r="K34" s="18" t="str">
        <f>IF(ISBLANK('S-Input'!K40)=TRUE," ",'S-Input'!K40)</f>
        <v>G</v>
      </c>
      <c r="L34" s="18" t="str">
        <f>IF(ISBLANK('S-Input'!L40)=TRUE," ",IF($H$7="3Y",'S-Input'!L40," "))</f>
        <v xml:space="preserve"> </v>
      </c>
      <c r="M34" s="496" t="str">
        <f>IF(ISBLANK('S-Input'!M40)=TRUE," ",IF($H$13&lt;&gt;"AUTO"," ",'S-Input'!M40))</f>
        <v xml:space="preserve"> </v>
      </c>
      <c r="N34" s="19" t="str">
        <f>IF(ISBLANK('S-Input'!N40)=TRUE," ",'S-Input'!N40)</f>
        <v>LIGHTS</v>
      </c>
      <c r="O34" s="18" t="str">
        <f>IF(ISBLANK('S-Input'!O40)=TRUE," ",'S-Input'!O40)</f>
        <v>20A-1P</v>
      </c>
      <c r="P34" s="17">
        <v>24</v>
      </c>
      <c r="R34" s="1">
        <f>'S-Input'!T40</f>
        <v>0</v>
      </c>
    </row>
    <row r="35" spans="1:18" ht="12" customHeight="1">
      <c r="B35" s="17">
        <v>25</v>
      </c>
      <c r="C35" s="18" t="str">
        <f>IF(ISBLANK('S-Input'!C41)=TRUE," ",'S-Input'!C41)</f>
        <v xml:space="preserve"> </v>
      </c>
      <c r="D35" s="19" t="str">
        <f>IF(ISBLANK('S-Input'!D41)=TRUE," ",'S-Input'!D41)</f>
        <v xml:space="preserve"> </v>
      </c>
      <c r="E35" s="496" t="str">
        <f>IF(ISBLANK('S-Input'!E41)=TRUE," ",IF($H$13&lt;&gt;"AUTO"," ",'S-Input'!E41))</f>
        <v xml:space="preserve"> </v>
      </c>
      <c r="F35" s="18" t="str">
        <f>IF(ISBLANK('S-Input'!F41)=TRUE," ",IF($H$7="3Y",'S-Input'!F41," "))</f>
        <v xml:space="preserve"> </v>
      </c>
      <c r="G35" s="18" t="str">
        <f>IF(ISBLANK('S-Input'!G41)=TRUE," ",'S-Input'!G41)</f>
        <v>G</v>
      </c>
      <c r="H35" s="20" t="str">
        <f>IF(ISBLANK('S-Input'!H41)=TRUE," ",'S-Input'!H41)</f>
        <v xml:space="preserve"> </v>
      </c>
      <c r="I35" s="21" t="str">
        <f>'S-Input'!I41</f>
        <v>L1</v>
      </c>
      <c r="J35" s="20">
        <f>IF(ISBLANK('S-Input'!J41)=TRUE," ",'S-Input'!J41)</f>
        <v>1100</v>
      </c>
      <c r="K35" s="18" t="str">
        <f>IF(ISBLANK('S-Input'!K41)=TRUE," ",'S-Input'!K41)</f>
        <v>G</v>
      </c>
      <c r="L35" s="18" t="str">
        <f>IF(ISBLANK('S-Input'!L41)=TRUE," ",IF($H$7="3Y",'S-Input'!L41," "))</f>
        <v xml:space="preserve"> </v>
      </c>
      <c r="M35" s="496" t="str">
        <f>IF(ISBLANK('S-Input'!M41)=TRUE," ",IF($H$13&lt;&gt;"AUTO"," ",'S-Input'!M41))</f>
        <v xml:space="preserve"> </v>
      </c>
      <c r="N35" s="19" t="str">
        <f>IF(ISBLANK('S-Input'!N41)=TRUE," ",'S-Input'!N41)</f>
        <v>LIGHTS</v>
      </c>
      <c r="O35" s="18" t="str">
        <f>IF(ISBLANK('S-Input'!O41)=TRUE," ",'S-Input'!O41)</f>
        <v>20A-1P</v>
      </c>
      <c r="P35" s="17">
        <v>26</v>
      </c>
      <c r="R35" s="1">
        <f>'S-Input'!T41</f>
        <v>0</v>
      </c>
    </row>
    <row r="36" spans="1:18" ht="12" customHeight="1">
      <c r="B36" s="17">
        <v>27</v>
      </c>
      <c r="C36" s="18" t="str">
        <f>IF(ISBLANK('S-Input'!C42)=TRUE," ",'S-Input'!C42)</f>
        <v xml:space="preserve"> </v>
      </c>
      <c r="D36" s="19" t="str">
        <f>IF(ISBLANK('S-Input'!D42)=TRUE," ",'S-Input'!D42)</f>
        <v xml:space="preserve"> </v>
      </c>
      <c r="E36" s="496" t="str">
        <f>IF(ISBLANK('S-Input'!E42)=TRUE," ",IF($H$13&lt;&gt;"AUTO"," ",'S-Input'!E42))</f>
        <v xml:space="preserve"> </v>
      </c>
      <c r="F36" s="18" t="str">
        <f>IF(ISBLANK('S-Input'!F42)=TRUE," ",IF($H$7="3Y",'S-Input'!F42," "))</f>
        <v xml:space="preserve"> </v>
      </c>
      <c r="G36" s="18" t="str">
        <f>IF(ISBLANK('S-Input'!G42)=TRUE," ",'S-Input'!G42)</f>
        <v>G</v>
      </c>
      <c r="H36" s="20" t="str">
        <f>IF(ISBLANK('S-Input'!H42)=TRUE," ",'S-Input'!H42)</f>
        <v xml:space="preserve"> </v>
      </c>
      <c r="I36" s="21" t="str">
        <f>'S-Input'!I42</f>
        <v>L2</v>
      </c>
      <c r="J36" s="20" t="str">
        <f>IF(ISBLANK('S-Input'!J42)=TRUE," ",'S-Input'!J42)</f>
        <v xml:space="preserve"> </v>
      </c>
      <c r="K36" s="18" t="str">
        <f>IF(ISBLANK('S-Input'!K42)=TRUE," ",'S-Input'!K42)</f>
        <v>G</v>
      </c>
      <c r="L36" s="18" t="str">
        <f>IF(ISBLANK('S-Input'!L42)=TRUE," ",IF($H$7="3Y",'S-Input'!L42," "))</f>
        <v xml:space="preserve"> </v>
      </c>
      <c r="M36" s="496" t="str">
        <f>IF(ISBLANK('S-Input'!M42)=TRUE," ",IF($H$13&lt;&gt;"AUTO"," ",'S-Input'!M42))</f>
        <v xml:space="preserve"> </v>
      </c>
      <c r="N36" s="19" t="str">
        <f>IF(ISBLANK('S-Input'!N42)=TRUE," ",'S-Input'!N42)</f>
        <v xml:space="preserve"> </v>
      </c>
      <c r="O36" s="18" t="str">
        <f>IF(ISBLANK('S-Input'!O42)=TRUE," ",'S-Input'!O42)</f>
        <v xml:space="preserve"> </v>
      </c>
      <c r="P36" s="17">
        <v>28</v>
      </c>
      <c r="R36" s="1">
        <f>'S-Input'!T42</f>
        <v>0</v>
      </c>
    </row>
    <row r="37" spans="1:18" ht="12" customHeight="1">
      <c r="B37" s="17">
        <v>29</v>
      </c>
      <c r="C37" s="18" t="str">
        <f>IF(ISBLANK('S-Input'!C43)=TRUE," ",'S-Input'!C43)</f>
        <v xml:space="preserve"> </v>
      </c>
      <c r="D37" s="19" t="str">
        <f>IF(ISBLANK('S-Input'!D43)=TRUE," ",'S-Input'!D43)</f>
        <v xml:space="preserve"> </v>
      </c>
      <c r="E37" s="496" t="str">
        <f>IF(ISBLANK('S-Input'!E43)=TRUE," ",IF($H$13&lt;&gt;"AUTO"," ",'S-Input'!E43))</f>
        <v xml:space="preserve"> </v>
      </c>
      <c r="F37" s="18" t="str">
        <f>IF(ISBLANK('S-Input'!F43)=TRUE," ",IF($H$7="3Y",'S-Input'!F43," "))</f>
        <v xml:space="preserve"> </v>
      </c>
      <c r="G37" s="18" t="str">
        <f>IF(ISBLANK('S-Input'!G43)=TRUE," ",'S-Input'!G43)</f>
        <v>G</v>
      </c>
      <c r="H37" s="20" t="str">
        <f>IF(ISBLANK('S-Input'!H43)=TRUE," ",'S-Input'!H43)</f>
        <v xml:space="preserve"> </v>
      </c>
      <c r="I37" s="21" t="str">
        <f>'S-Input'!I43</f>
        <v>L1</v>
      </c>
      <c r="J37" s="20" t="str">
        <f>IF(ISBLANK('S-Input'!J43)=TRUE," ",'S-Input'!J43)</f>
        <v xml:space="preserve"> </v>
      </c>
      <c r="K37" s="18" t="str">
        <f>IF(ISBLANK('S-Input'!K43)=TRUE," ",'S-Input'!K43)</f>
        <v>G</v>
      </c>
      <c r="L37" s="18" t="str">
        <f>IF(ISBLANK('S-Input'!L43)=TRUE," ",IF($H$7="3Y",'S-Input'!L43," "))</f>
        <v xml:space="preserve"> </v>
      </c>
      <c r="M37" s="496" t="str">
        <f>IF(ISBLANK('S-Input'!M43)=TRUE," ",IF($H$13&lt;&gt;"AUTO"," ",'S-Input'!M43))</f>
        <v xml:space="preserve"> </v>
      </c>
      <c r="N37" s="19" t="str">
        <f>IF(ISBLANK('S-Input'!N43)=TRUE," ",'S-Input'!N43)</f>
        <v xml:space="preserve"> </v>
      </c>
      <c r="O37" s="18" t="str">
        <f>IF(ISBLANK('S-Input'!O43)=TRUE," ",'S-Input'!O43)</f>
        <v xml:space="preserve"> </v>
      </c>
      <c r="P37" s="17">
        <v>30</v>
      </c>
      <c r="R37" s="1">
        <f>'S-Input'!T43</f>
        <v>0</v>
      </c>
    </row>
    <row r="38" spans="1:18" ht="12" customHeight="1">
      <c r="B38" s="17">
        <v>31</v>
      </c>
      <c r="C38" s="18" t="str">
        <f>IF(ISBLANK('S-Input'!C44)=TRUE," ",'S-Input'!C44)</f>
        <v xml:space="preserve"> </v>
      </c>
      <c r="D38" s="19" t="str">
        <f>IF(ISBLANK('S-Input'!D44)=TRUE," ",'S-Input'!D44)</f>
        <v xml:space="preserve"> </v>
      </c>
      <c r="E38" s="496" t="str">
        <f>IF(ISBLANK('S-Input'!E44)=TRUE," ",IF($H$13&lt;&gt;"AUTO"," ",'S-Input'!E44))</f>
        <v xml:space="preserve"> </v>
      </c>
      <c r="F38" s="18" t="str">
        <f>IF(ISBLANK('S-Input'!F44)=TRUE," ",IF($H$7="3Y",'S-Input'!F44," "))</f>
        <v xml:space="preserve"> </v>
      </c>
      <c r="G38" s="18" t="str">
        <f>IF(ISBLANK('S-Input'!G44)=TRUE," ",'S-Input'!G44)</f>
        <v>G</v>
      </c>
      <c r="H38" s="20" t="str">
        <f>IF(ISBLANK('S-Input'!H44)=TRUE," ",'S-Input'!H44)</f>
        <v xml:space="preserve"> </v>
      </c>
      <c r="I38" s="21" t="str">
        <f>'S-Input'!I44</f>
        <v>L2</v>
      </c>
      <c r="J38" s="20" t="str">
        <f>IF(ISBLANK('S-Input'!J44)=TRUE," ",'S-Input'!J44)</f>
        <v xml:space="preserve"> </v>
      </c>
      <c r="K38" s="18" t="str">
        <f>IF(ISBLANK('S-Input'!K44)=TRUE," ",'S-Input'!K44)</f>
        <v>G</v>
      </c>
      <c r="L38" s="18" t="str">
        <f>IF(ISBLANK('S-Input'!L44)=TRUE," ",IF($H$7="3Y",'S-Input'!L44," "))</f>
        <v xml:space="preserve"> </v>
      </c>
      <c r="M38" s="496" t="str">
        <f>IF(ISBLANK('S-Input'!M44)=TRUE," ",IF($H$13&lt;&gt;"AUTO"," ",'S-Input'!M44))</f>
        <v xml:space="preserve"> </v>
      </c>
      <c r="N38" s="19" t="str">
        <f>IF(ISBLANK('S-Input'!N44)=TRUE," ",'S-Input'!N44)</f>
        <v xml:space="preserve"> </v>
      </c>
      <c r="O38" s="18" t="str">
        <f>IF(ISBLANK('S-Input'!O44)=TRUE," ",'S-Input'!O44)</f>
        <v xml:space="preserve"> </v>
      </c>
      <c r="P38" s="17">
        <v>32</v>
      </c>
      <c r="R38" s="1">
        <f>'S-Input'!T44</f>
        <v>0</v>
      </c>
    </row>
    <row r="39" spans="1:18" ht="12" customHeight="1">
      <c r="B39" s="17">
        <v>33</v>
      </c>
      <c r="C39" s="18" t="str">
        <f>IF(ISBLANK('S-Input'!C45)=TRUE," ",'S-Input'!C45)</f>
        <v xml:space="preserve"> </v>
      </c>
      <c r="D39" s="19" t="str">
        <f>IF(ISBLANK('S-Input'!D45)=TRUE," ",'S-Input'!D45)</f>
        <v xml:space="preserve"> </v>
      </c>
      <c r="E39" s="496" t="str">
        <f>IF(ISBLANK('S-Input'!E45)=TRUE," ",IF($H$13&lt;&gt;"AUTO"," ",'S-Input'!E45))</f>
        <v xml:space="preserve"> </v>
      </c>
      <c r="F39" s="18" t="str">
        <f>IF(ISBLANK('S-Input'!F45)=TRUE," ",IF($H$7="3Y",'S-Input'!F45," "))</f>
        <v xml:space="preserve"> </v>
      </c>
      <c r="G39" s="18" t="str">
        <f>IF(ISBLANK('S-Input'!G45)=TRUE," ",'S-Input'!G45)</f>
        <v>G</v>
      </c>
      <c r="H39" s="20" t="str">
        <f>IF(ISBLANK('S-Input'!H45)=TRUE," ",'S-Input'!H45)</f>
        <v xml:space="preserve"> </v>
      </c>
      <c r="I39" s="21" t="str">
        <f>'S-Input'!I45</f>
        <v>L1</v>
      </c>
      <c r="J39" s="20" t="str">
        <f>IF(ISBLANK('S-Input'!J45)=TRUE," ",'S-Input'!J45)</f>
        <v xml:space="preserve"> </v>
      </c>
      <c r="K39" s="18" t="str">
        <f>IF(ISBLANK('S-Input'!K45)=TRUE," ",'S-Input'!K45)</f>
        <v>G</v>
      </c>
      <c r="L39" s="18" t="str">
        <f>IF(ISBLANK('S-Input'!L45)=TRUE," ",IF($H$7="3Y",'S-Input'!L45," "))</f>
        <v xml:space="preserve"> </v>
      </c>
      <c r="M39" s="496" t="str">
        <f>IF(ISBLANK('S-Input'!M45)=TRUE," ",IF($H$13&lt;&gt;"AUTO"," ",'S-Input'!M45))</f>
        <v xml:space="preserve"> </v>
      </c>
      <c r="N39" s="19" t="str">
        <f>IF(ISBLANK('S-Input'!N45)=TRUE," ",'S-Input'!N45)</f>
        <v xml:space="preserve"> </v>
      </c>
      <c r="O39" s="18" t="str">
        <f>IF(ISBLANK('S-Input'!O45)=TRUE," ",'S-Input'!O45)</f>
        <v xml:space="preserve"> </v>
      </c>
      <c r="P39" s="17">
        <v>34</v>
      </c>
      <c r="R39" s="1">
        <f>'S-Input'!T45</f>
        <v>0</v>
      </c>
    </row>
    <row r="40" spans="1:18" ht="12" customHeight="1">
      <c r="A40" s="22"/>
      <c r="B40" s="17">
        <v>35</v>
      </c>
      <c r="C40" s="18" t="str">
        <f>IF(ISBLANK('S-Input'!C46)=TRUE," ",'S-Input'!C46)</f>
        <v xml:space="preserve"> </v>
      </c>
      <c r="D40" s="19" t="str">
        <f>IF(ISBLANK('S-Input'!D46)=TRUE," ",'S-Input'!D46)</f>
        <v xml:space="preserve"> </v>
      </c>
      <c r="E40" s="496" t="str">
        <f>IF(ISBLANK('S-Input'!E46)=TRUE," ",IF($H$13&lt;&gt;"AUTO"," ",'S-Input'!E46))</f>
        <v xml:space="preserve"> </v>
      </c>
      <c r="F40" s="18" t="str">
        <f>IF(ISBLANK('S-Input'!F46)=TRUE," ",IF($H$7="3Y",'S-Input'!F46," "))</f>
        <v xml:space="preserve"> </v>
      </c>
      <c r="G40" s="18" t="str">
        <f>IF(ISBLANK('S-Input'!G46)=TRUE," ",'S-Input'!G46)</f>
        <v>G</v>
      </c>
      <c r="H40" s="20" t="str">
        <f>IF(ISBLANK('S-Input'!H46)=TRUE," ",'S-Input'!H46)</f>
        <v xml:space="preserve"> </v>
      </c>
      <c r="I40" s="21" t="str">
        <f>'S-Input'!I46</f>
        <v>L2</v>
      </c>
      <c r="J40" s="20" t="str">
        <f>IF(ISBLANK('S-Input'!J46)=TRUE," ",'S-Input'!J46)</f>
        <v xml:space="preserve"> </v>
      </c>
      <c r="K40" s="18" t="str">
        <f>IF(ISBLANK('S-Input'!K46)=TRUE," ",'S-Input'!K46)</f>
        <v>G</v>
      </c>
      <c r="L40" s="18" t="str">
        <f>IF(ISBLANK('S-Input'!L46)=TRUE," ",IF($H$7="3Y",'S-Input'!L46," "))</f>
        <v xml:space="preserve"> </v>
      </c>
      <c r="M40" s="496" t="str">
        <f>IF(ISBLANK('S-Input'!M46)=TRUE," ",IF($H$13&lt;&gt;"AUTO"," ",'S-Input'!M46))</f>
        <v xml:space="preserve"> </v>
      </c>
      <c r="N40" s="19" t="str">
        <f>IF(ISBLANK('S-Input'!N46)=TRUE," ",'S-Input'!N46)</f>
        <v xml:space="preserve"> </v>
      </c>
      <c r="O40" s="18" t="str">
        <f>IF(ISBLANK('S-Input'!O46)=TRUE," ",'S-Input'!O46)</f>
        <v xml:space="preserve"> </v>
      </c>
      <c r="P40" s="17">
        <v>36</v>
      </c>
      <c r="Q40" s="22"/>
      <c r="R40" s="1">
        <f>'S-Input'!T46</f>
        <v>0</v>
      </c>
    </row>
    <row r="41" spans="1:18" s="22" customFormat="1" ht="12" customHeight="1">
      <c r="B41" s="17">
        <v>37</v>
      </c>
      <c r="C41" s="18" t="str">
        <f>IF(ISBLANK('S-Input'!C47)=TRUE," ",'S-Input'!C47)</f>
        <v xml:space="preserve"> </v>
      </c>
      <c r="D41" s="19" t="str">
        <f>IF(ISBLANK('S-Input'!D47)=TRUE," ",'S-Input'!D47)</f>
        <v xml:space="preserve"> </v>
      </c>
      <c r="E41" s="496" t="str">
        <f>IF(ISBLANK('S-Input'!E47)=TRUE," ",IF($H$13&lt;&gt;"AUTO"," ",'S-Input'!E47))</f>
        <v xml:space="preserve"> </v>
      </c>
      <c r="F41" s="18" t="str">
        <f>IF(ISBLANK('S-Input'!F47)=TRUE," ",IF($H$7="3Y",'S-Input'!F47," "))</f>
        <v xml:space="preserve"> </v>
      </c>
      <c r="G41" s="18" t="str">
        <f>IF(ISBLANK('S-Input'!G47)=TRUE," ",'S-Input'!G47)</f>
        <v>G</v>
      </c>
      <c r="H41" s="20" t="str">
        <f>IF(ISBLANK('S-Input'!H47)=TRUE," ",'S-Input'!H47)</f>
        <v xml:space="preserve"> </v>
      </c>
      <c r="I41" s="21" t="str">
        <f>'S-Input'!I47</f>
        <v>L1</v>
      </c>
      <c r="J41" s="20" t="str">
        <f>IF(ISBLANK('S-Input'!J47)=TRUE," ",'S-Input'!J47)</f>
        <v xml:space="preserve"> </v>
      </c>
      <c r="K41" s="18" t="str">
        <f>IF(ISBLANK('S-Input'!K47)=TRUE," ",'S-Input'!K47)</f>
        <v>G</v>
      </c>
      <c r="L41" s="18" t="str">
        <f>IF(ISBLANK('S-Input'!L47)=TRUE," ",IF($H$7="3Y",'S-Input'!L47," "))</f>
        <v xml:space="preserve"> </v>
      </c>
      <c r="M41" s="496" t="str">
        <f>IF(ISBLANK('S-Input'!M47)=TRUE," ",IF($H$13&lt;&gt;"AUTO"," ",'S-Input'!M47))</f>
        <v xml:space="preserve"> </v>
      </c>
      <c r="N41" s="19" t="str">
        <f>IF(ISBLANK('S-Input'!N47)=TRUE," ",'S-Input'!N47)</f>
        <v xml:space="preserve"> </v>
      </c>
      <c r="O41" s="18" t="str">
        <f>IF(ISBLANK('S-Input'!O47)=TRUE," ",'S-Input'!O47)</f>
        <v xml:space="preserve"> </v>
      </c>
      <c r="P41" s="17">
        <v>38</v>
      </c>
      <c r="R41" s="1">
        <f>'S-Input'!T47</f>
        <v>0</v>
      </c>
    </row>
    <row r="42" spans="1:18" s="22" customFormat="1" ht="12" customHeight="1">
      <c r="A42" s="1"/>
      <c r="B42" s="17">
        <v>39</v>
      </c>
      <c r="C42" s="18" t="str">
        <f>IF(ISBLANK('S-Input'!C48)=TRUE," ",'S-Input'!C48)</f>
        <v xml:space="preserve"> </v>
      </c>
      <c r="D42" s="19" t="str">
        <f>IF(ISBLANK('S-Input'!D48)=TRUE," ",'S-Input'!D48)</f>
        <v xml:space="preserve"> </v>
      </c>
      <c r="E42" s="496" t="str">
        <f>IF(ISBLANK('S-Input'!E48)=TRUE," ",IF($H$13&lt;&gt;"AUTO"," ",'S-Input'!E48))</f>
        <v xml:space="preserve"> </v>
      </c>
      <c r="F42" s="18" t="str">
        <f>IF(ISBLANK('S-Input'!F48)=TRUE," ",IF($H$7="3Y",'S-Input'!F48," "))</f>
        <v xml:space="preserve"> </v>
      </c>
      <c r="G42" s="18" t="str">
        <f>IF(ISBLANK('S-Input'!G48)=TRUE," ",'S-Input'!G48)</f>
        <v>G</v>
      </c>
      <c r="H42" s="20" t="str">
        <f>IF(ISBLANK('S-Input'!H48)=TRUE," ",'S-Input'!H48)</f>
        <v xml:space="preserve"> </v>
      </c>
      <c r="I42" s="21" t="str">
        <f>'S-Input'!I48</f>
        <v>L2</v>
      </c>
      <c r="J42" s="20" t="str">
        <f>IF(ISBLANK('S-Input'!J48)=TRUE," ",'S-Input'!J48)</f>
        <v xml:space="preserve"> </v>
      </c>
      <c r="K42" s="18" t="str">
        <f>IF(ISBLANK('S-Input'!K48)=TRUE," ",'S-Input'!K48)</f>
        <v>G</v>
      </c>
      <c r="L42" s="18" t="str">
        <f>IF(ISBLANK('S-Input'!L48)=TRUE," ",IF($H$7="3Y",'S-Input'!L48," "))</f>
        <v xml:space="preserve"> </v>
      </c>
      <c r="M42" s="496" t="str">
        <f>IF(ISBLANK('S-Input'!M48)=TRUE," ",IF($H$13&lt;&gt;"AUTO"," ",'S-Input'!M48))</f>
        <v xml:space="preserve"> </v>
      </c>
      <c r="N42" s="19" t="str">
        <f>IF(ISBLANK('S-Input'!N48)=TRUE," ",'S-Input'!N48)</f>
        <v xml:space="preserve"> </v>
      </c>
      <c r="O42" s="18" t="str">
        <f>IF(ISBLANK('S-Input'!O48)=TRUE," ",'S-Input'!O48)</f>
        <v xml:space="preserve"> </v>
      </c>
      <c r="P42" s="17">
        <v>40</v>
      </c>
      <c r="Q42" s="1"/>
      <c r="R42" s="1">
        <f>'S-Input'!T48</f>
        <v>0</v>
      </c>
    </row>
    <row r="43" spans="1:18" ht="12" customHeight="1">
      <c r="B43" s="17">
        <v>41</v>
      </c>
      <c r="C43" s="18" t="str">
        <f>IF(ISBLANK('S-Input'!C49)=TRUE," ",'S-Input'!C49)</f>
        <v xml:space="preserve"> </v>
      </c>
      <c r="D43" s="19" t="str">
        <f>IF(ISBLANK('S-Input'!D49)=TRUE," ",'S-Input'!D49)</f>
        <v xml:space="preserve"> </v>
      </c>
      <c r="E43" s="496" t="str">
        <f>IF(ISBLANK('S-Input'!E49)=TRUE," ",IF($H$13&lt;&gt;"AUTO"," ",'S-Input'!E49))</f>
        <v xml:space="preserve"> </v>
      </c>
      <c r="F43" s="18" t="str">
        <f>IF(ISBLANK('S-Input'!F49)=TRUE," ",IF($H$7="3Y",'S-Input'!F49," "))</f>
        <v xml:space="preserve"> </v>
      </c>
      <c r="G43" s="18" t="str">
        <f>IF(ISBLANK('S-Input'!G49)=TRUE," ",'S-Input'!G49)</f>
        <v>G</v>
      </c>
      <c r="H43" s="20" t="str">
        <f>IF(ISBLANK('S-Input'!H49)=TRUE," ",'S-Input'!H49)</f>
        <v xml:space="preserve"> </v>
      </c>
      <c r="I43" s="21" t="str">
        <f>'S-Input'!I49</f>
        <v>L1</v>
      </c>
      <c r="J43" s="20" t="str">
        <f>IF(ISBLANK('S-Input'!J49)=TRUE," ",'S-Input'!J49)</f>
        <v xml:space="preserve"> </v>
      </c>
      <c r="K43" s="18" t="str">
        <f>IF(ISBLANK('S-Input'!K49)=TRUE," ",'S-Input'!K49)</f>
        <v>G</v>
      </c>
      <c r="L43" s="18" t="str">
        <f>IF(ISBLANK('S-Input'!L49)=TRUE," ",IF($H$7="3Y",'S-Input'!L49," "))</f>
        <v xml:space="preserve"> </v>
      </c>
      <c r="M43" s="496" t="str">
        <f>IF(ISBLANK('S-Input'!M49)=TRUE," ",IF($H$13&lt;&gt;"AUTO"," ",'S-Input'!M49))</f>
        <v xml:space="preserve"> </v>
      </c>
      <c r="N43" s="19" t="str">
        <f>IF(ISBLANK('S-Input'!N49)=TRUE," ",'S-Input'!N49)</f>
        <v xml:space="preserve"> </v>
      </c>
      <c r="O43" s="18" t="str">
        <f>IF(ISBLANK('S-Input'!O49)=TRUE," ",'S-Input'!O49)</f>
        <v xml:space="preserve"> </v>
      </c>
      <c r="P43" s="17">
        <v>42</v>
      </c>
      <c r="R43" s="1">
        <f>'S-Input'!T49</f>
        <v>0</v>
      </c>
    </row>
    <row r="44" spans="1:18" ht="12" customHeight="1">
      <c r="B44" s="17">
        <v>43</v>
      </c>
      <c r="C44" s="18" t="str">
        <f>IF(ISBLANK('S-Input'!C50)=TRUE," ",'S-Input'!C50)</f>
        <v xml:space="preserve"> </v>
      </c>
      <c r="D44" s="19" t="str">
        <f>IF(ISBLANK('S-Input'!D50)=TRUE," ",'S-Input'!D50)</f>
        <v xml:space="preserve"> </v>
      </c>
      <c r="E44" s="496" t="str">
        <f>IF(ISBLANK('S-Input'!E50)=TRUE," ",IF($H$13&lt;&gt;"AUTO"," ",'S-Input'!E50))</f>
        <v xml:space="preserve"> </v>
      </c>
      <c r="F44" s="18" t="str">
        <f>IF(ISBLANK('S-Input'!F50)=TRUE," ",IF($H$7="3Y",'S-Input'!F50," "))</f>
        <v xml:space="preserve"> </v>
      </c>
      <c r="G44" s="18" t="str">
        <f>IF(ISBLANK('S-Input'!G50)=TRUE," ",'S-Input'!G50)</f>
        <v>G</v>
      </c>
      <c r="H44" s="20" t="str">
        <f>IF(ISBLANK('S-Input'!H50)=TRUE," ",'S-Input'!H50)</f>
        <v xml:space="preserve"> </v>
      </c>
      <c r="I44" s="21" t="str">
        <f>'S-Input'!I50</f>
        <v>L2</v>
      </c>
      <c r="J44" s="20" t="str">
        <f>IF(ISBLANK('S-Input'!J50)=TRUE," ",'S-Input'!J50)</f>
        <v xml:space="preserve"> </v>
      </c>
      <c r="K44" s="18" t="str">
        <f>IF(ISBLANK('S-Input'!K50)=TRUE," ",'S-Input'!K50)</f>
        <v>G</v>
      </c>
      <c r="L44" s="18" t="str">
        <f>IF(ISBLANK('S-Input'!L50)=TRUE," ",IF($H$7="3Y",'S-Input'!L50," "))</f>
        <v xml:space="preserve"> </v>
      </c>
      <c r="M44" s="496" t="str">
        <f>IF(ISBLANK('S-Input'!M50)=TRUE," ",IF($H$13&lt;&gt;"AUTO"," ",'S-Input'!M50))</f>
        <v xml:space="preserve"> </v>
      </c>
      <c r="N44" s="19" t="str">
        <f>IF(ISBLANK('S-Input'!N50)=TRUE," ",'S-Input'!N50)</f>
        <v xml:space="preserve"> </v>
      </c>
      <c r="O44" s="18" t="str">
        <f>IF(ISBLANK('S-Input'!O50)=TRUE," ",'S-Input'!O50)</f>
        <v xml:space="preserve"> </v>
      </c>
      <c r="P44" s="17">
        <v>44</v>
      </c>
      <c r="R44" s="1">
        <f>'S-Input'!T50</f>
        <v>0</v>
      </c>
    </row>
    <row r="45" spans="1:18" ht="12" customHeight="1">
      <c r="B45" s="17">
        <v>45</v>
      </c>
      <c r="C45" s="18" t="str">
        <f>IF(ISBLANK('S-Input'!C51)=TRUE," ",'S-Input'!C51)</f>
        <v xml:space="preserve"> </v>
      </c>
      <c r="D45" s="19" t="str">
        <f>IF(ISBLANK('S-Input'!D51)=TRUE," ",'S-Input'!D51)</f>
        <v xml:space="preserve"> </v>
      </c>
      <c r="E45" s="496" t="str">
        <f>IF(ISBLANK('S-Input'!E51)=TRUE," ",IF($H$13&lt;&gt;"AUTO"," ",'S-Input'!E51))</f>
        <v xml:space="preserve"> </v>
      </c>
      <c r="F45" s="18" t="str">
        <f>IF(ISBLANK('S-Input'!F51)=TRUE," ",IF($H$7="3Y",'S-Input'!F51," "))</f>
        <v xml:space="preserve"> </v>
      </c>
      <c r="G45" s="18" t="str">
        <f>IF(ISBLANK('S-Input'!G51)=TRUE," ",'S-Input'!G51)</f>
        <v>G</v>
      </c>
      <c r="H45" s="20" t="str">
        <f>IF(ISBLANK('S-Input'!H51)=TRUE," ",'S-Input'!H51)</f>
        <v xml:space="preserve"> </v>
      </c>
      <c r="I45" s="21" t="str">
        <f>'S-Input'!I51</f>
        <v>L1</v>
      </c>
      <c r="J45" s="20" t="str">
        <f>IF(ISBLANK('S-Input'!J51)=TRUE," ",'S-Input'!J51)</f>
        <v xml:space="preserve"> </v>
      </c>
      <c r="K45" s="18" t="str">
        <f>IF(ISBLANK('S-Input'!K51)=TRUE," ",'S-Input'!K51)</f>
        <v>G</v>
      </c>
      <c r="L45" s="18" t="str">
        <f>IF(ISBLANK('S-Input'!L51)=TRUE," ",IF($H$7="3Y",'S-Input'!L51," "))</f>
        <v xml:space="preserve"> </v>
      </c>
      <c r="M45" s="496" t="str">
        <f>IF(ISBLANK('S-Input'!M51)=TRUE," ",IF($H$13&lt;&gt;"AUTO"," ",'S-Input'!M51))</f>
        <v xml:space="preserve"> </v>
      </c>
      <c r="N45" s="19" t="str">
        <f>IF(ISBLANK('S-Input'!N51)=TRUE," ",'S-Input'!N51)</f>
        <v xml:space="preserve"> </v>
      </c>
      <c r="O45" s="18" t="str">
        <f>IF(ISBLANK('S-Input'!O51)=TRUE," ",'S-Input'!O51)</f>
        <v xml:space="preserve"> </v>
      </c>
      <c r="P45" s="17">
        <v>46</v>
      </c>
      <c r="R45" s="1">
        <f>'S-Input'!T51</f>
        <v>0</v>
      </c>
    </row>
    <row r="46" spans="1:18" ht="12" customHeight="1">
      <c r="B46" s="17">
        <v>47</v>
      </c>
      <c r="C46" s="18" t="str">
        <f>IF(ISBLANK('S-Input'!C52)=TRUE," ",'S-Input'!C52)</f>
        <v xml:space="preserve"> </v>
      </c>
      <c r="D46" s="19" t="str">
        <f>IF(ISBLANK('S-Input'!D52)=TRUE," ",'S-Input'!D52)</f>
        <v xml:space="preserve"> </v>
      </c>
      <c r="E46" s="496" t="str">
        <f>IF(ISBLANK('S-Input'!E52)=TRUE," ",IF($H$13&lt;&gt;"AUTO"," ",'S-Input'!E52))</f>
        <v xml:space="preserve"> </v>
      </c>
      <c r="F46" s="18" t="str">
        <f>IF(ISBLANK('S-Input'!F52)=TRUE," ",IF($H$7="3Y",'S-Input'!F52," "))</f>
        <v xml:space="preserve"> </v>
      </c>
      <c r="G46" s="18" t="str">
        <f>IF(ISBLANK('S-Input'!G52)=TRUE," ",'S-Input'!G52)</f>
        <v>G</v>
      </c>
      <c r="H46" s="20" t="str">
        <f>IF(ISBLANK('S-Input'!H52)=TRUE," ",'S-Input'!H52)</f>
        <v xml:space="preserve"> </v>
      </c>
      <c r="I46" s="21" t="str">
        <f>'S-Input'!I52</f>
        <v>L2</v>
      </c>
      <c r="J46" s="20" t="str">
        <f>IF(ISBLANK('S-Input'!J52)=TRUE," ",'S-Input'!J52)</f>
        <v xml:space="preserve"> </v>
      </c>
      <c r="K46" s="18" t="str">
        <f>IF(ISBLANK('S-Input'!K52)=TRUE," ",'S-Input'!K52)</f>
        <v>G</v>
      </c>
      <c r="L46" s="18" t="str">
        <f>IF(ISBLANK('S-Input'!L52)=TRUE," ",IF($H$7="3Y",'S-Input'!L52," "))</f>
        <v xml:space="preserve"> </v>
      </c>
      <c r="M46" s="496" t="str">
        <f>IF(ISBLANK('S-Input'!M52)=TRUE," ",IF($H$13&lt;&gt;"AUTO"," ",'S-Input'!M52))</f>
        <v xml:space="preserve"> </v>
      </c>
      <c r="N46" s="19" t="str">
        <f>IF(ISBLANK('S-Input'!N52)=TRUE," ",'S-Input'!N52)</f>
        <v xml:space="preserve"> </v>
      </c>
      <c r="O46" s="18" t="str">
        <f>IF(ISBLANK('S-Input'!O52)=TRUE," ",'S-Input'!O52)</f>
        <v xml:space="preserve"> </v>
      </c>
      <c r="P46" s="17">
        <v>48</v>
      </c>
      <c r="R46" s="1">
        <f>'S-Input'!T52</f>
        <v>0</v>
      </c>
    </row>
    <row r="47" spans="1:18" ht="12" customHeight="1">
      <c r="B47" s="17">
        <v>49</v>
      </c>
      <c r="C47" s="18" t="str">
        <f>IF(ISBLANK('S-Input'!C53)=TRUE," ",'S-Input'!C53)</f>
        <v xml:space="preserve"> </v>
      </c>
      <c r="D47" s="19" t="str">
        <f>IF(ISBLANK('S-Input'!D53)=TRUE," ",'S-Input'!D53)</f>
        <v xml:space="preserve"> </v>
      </c>
      <c r="E47" s="496" t="str">
        <f>IF(ISBLANK('S-Input'!E53)=TRUE," ",IF($H$13&lt;&gt;"AUTO"," ",'S-Input'!E53))</f>
        <v xml:space="preserve"> </v>
      </c>
      <c r="F47" s="18" t="str">
        <f>IF(ISBLANK('S-Input'!F53)=TRUE," ",IF($H$7="3Y",'S-Input'!F53," "))</f>
        <v xml:space="preserve"> </v>
      </c>
      <c r="G47" s="18" t="str">
        <f>IF(ISBLANK('S-Input'!G53)=TRUE," ",'S-Input'!G53)</f>
        <v>G</v>
      </c>
      <c r="H47" s="20" t="str">
        <f>IF(ISBLANK('S-Input'!H53)=TRUE," ",'S-Input'!H53)</f>
        <v xml:space="preserve"> </v>
      </c>
      <c r="I47" s="21" t="str">
        <f>'S-Input'!I53</f>
        <v>L1</v>
      </c>
      <c r="J47" s="20" t="str">
        <f>IF(ISBLANK('S-Input'!J53)=TRUE," ",'S-Input'!J53)</f>
        <v xml:space="preserve"> </v>
      </c>
      <c r="K47" s="18" t="str">
        <f>IF(ISBLANK('S-Input'!K53)=TRUE," ",'S-Input'!K53)</f>
        <v>G</v>
      </c>
      <c r="L47" s="18" t="str">
        <f>IF(ISBLANK('S-Input'!L53)=TRUE," ",IF($H$7="3Y",'S-Input'!L53," "))</f>
        <v xml:space="preserve"> </v>
      </c>
      <c r="M47" s="496" t="str">
        <f>IF(ISBLANK('S-Input'!M53)=TRUE," ",IF($H$13&lt;&gt;"AUTO"," ",'S-Input'!M53))</f>
        <v xml:space="preserve"> </v>
      </c>
      <c r="N47" s="19" t="str">
        <f>IF(ISBLANK('S-Input'!N53)=TRUE," ",'S-Input'!N53)</f>
        <v xml:space="preserve"> </v>
      </c>
      <c r="O47" s="18" t="str">
        <f>IF(ISBLANK('S-Input'!O53)=TRUE," ",'S-Input'!O53)</f>
        <v xml:space="preserve"> </v>
      </c>
      <c r="P47" s="17">
        <v>50</v>
      </c>
      <c r="R47" s="1">
        <f>'S-Input'!T53</f>
        <v>0</v>
      </c>
    </row>
    <row r="48" spans="1:18" ht="12" customHeight="1">
      <c r="B48" s="17">
        <v>51</v>
      </c>
      <c r="C48" s="18" t="str">
        <f>IF(ISBLANK('S-Input'!C54)=TRUE," ",'S-Input'!C54)</f>
        <v xml:space="preserve"> </v>
      </c>
      <c r="D48" s="19" t="str">
        <f>IF(ISBLANK('S-Input'!D54)=TRUE," ",'S-Input'!D54)</f>
        <v xml:space="preserve"> </v>
      </c>
      <c r="E48" s="496" t="str">
        <f>IF(ISBLANK('S-Input'!E54)=TRUE," ",IF($H$13&lt;&gt;"AUTO"," ",'S-Input'!E54))</f>
        <v xml:space="preserve"> </v>
      </c>
      <c r="F48" s="18" t="str">
        <f>IF(ISBLANK('S-Input'!F54)=TRUE," ",IF($H$7="3Y",'S-Input'!F54," "))</f>
        <v xml:space="preserve"> </v>
      </c>
      <c r="G48" s="18" t="str">
        <f>IF(ISBLANK('S-Input'!G54)=TRUE," ",'S-Input'!G54)</f>
        <v>G</v>
      </c>
      <c r="H48" s="20" t="str">
        <f>IF(ISBLANK('S-Input'!H54)=TRUE," ",'S-Input'!H54)</f>
        <v xml:space="preserve"> </v>
      </c>
      <c r="I48" s="21" t="str">
        <f>'S-Input'!I54</f>
        <v>L2</v>
      </c>
      <c r="J48" s="20" t="str">
        <f>IF(ISBLANK('S-Input'!J54)=TRUE," ",'S-Input'!J54)</f>
        <v xml:space="preserve"> </v>
      </c>
      <c r="K48" s="18" t="str">
        <f>IF(ISBLANK('S-Input'!K54)=TRUE," ",'S-Input'!K54)</f>
        <v>G</v>
      </c>
      <c r="L48" s="18" t="str">
        <f>IF(ISBLANK('S-Input'!L54)=TRUE," ",IF($H$7="3Y",'S-Input'!L54," "))</f>
        <v xml:space="preserve"> </v>
      </c>
      <c r="M48" s="496" t="str">
        <f>IF(ISBLANK('S-Input'!M54)=TRUE," ",IF($H$13&lt;&gt;"AUTO"," ",'S-Input'!M54))</f>
        <v xml:space="preserve"> </v>
      </c>
      <c r="N48" s="19" t="str">
        <f>IF(ISBLANK('S-Input'!N54)=TRUE," ",'S-Input'!N54)</f>
        <v xml:space="preserve"> </v>
      </c>
      <c r="O48" s="18" t="str">
        <f>IF(ISBLANK('S-Input'!O54)=TRUE," ",'S-Input'!O54)</f>
        <v xml:space="preserve"> </v>
      </c>
      <c r="P48" s="17">
        <v>52</v>
      </c>
      <c r="R48" s="1">
        <f>'S-Input'!T54</f>
        <v>0</v>
      </c>
    </row>
    <row r="49" spans="2:18" ht="12" customHeight="1">
      <c r="B49" s="17">
        <v>53</v>
      </c>
      <c r="C49" s="18" t="str">
        <f>IF(ISBLANK('S-Input'!C55)=TRUE," ",'S-Input'!C55)</f>
        <v xml:space="preserve"> </v>
      </c>
      <c r="D49" s="19" t="str">
        <f>IF(ISBLANK('S-Input'!D55)=TRUE," ",'S-Input'!D55)</f>
        <v xml:space="preserve"> </v>
      </c>
      <c r="E49" s="496" t="str">
        <f>IF(ISBLANK('S-Input'!E55)=TRUE," ",IF($H$13&lt;&gt;"AUTO"," ",'S-Input'!E55))</f>
        <v xml:space="preserve"> </v>
      </c>
      <c r="F49" s="18" t="str">
        <f>IF(ISBLANK('S-Input'!F55)=TRUE," ",IF($H$7="3Y",'S-Input'!F55," "))</f>
        <v xml:space="preserve"> </v>
      </c>
      <c r="G49" s="18" t="str">
        <f>IF(ISBLANK('S-Input'!G55)=TRUE," ",'S-Input'!G55)</f>
        <v>G</v>
      </c>
      <c r="H49" s="20" t="str">
        <f>IF(ISBLANK('S-Input'!H55)=TRUE," ",'S-Input'!H55)</f>
        <v xml:space="preserve"> </v>
      </c>
      <c r="I49" s="21" t="str">
        <f>'S-Input'!I55</f>
        <v>L1</v>
      </c>
      <c r="J49" s="20" t="str">
        <f>IF(ISBLANK('S-Input'!J55)=TRUE," ",'S-Input'!J55)</f>
        <v xml:space="preserve"> </v>
      </c>
      <c r="K49" s="18" t="str">
        <f>IF(ISBLANK('S-Input'!K55)=TRUE," ",'S-Input'!K55)</f>
        <v>G</v>
      </c>
      <c r="L49" s="18" t="str">
        <f>IF(ISBLANK('S-Input'!L55)=TRUE," ",IF($H$7="3Y",'S-Input'!L55," "))</f>
        <v xml:space="preserve"> </v>
      </c>
      <c r="M49" s="496" t="str">
        <f>IF(ISBLANK('S-Input'!M55)=TRUE," ",IF($H$13&lt;&gt;"AUTO"," ",'S-Input'!M55))</f>
        <v xml:space="preserve"> </v>
      </c>
      <c r="N49" s="19" t="str">
        <f>IF(ISBLANK('S-Input'!N55)=TRUE," ",'S-Input'!N55)</f>
        <v xml:space="preserve"> </v>
      </c>
      <c r="O49" s="18" t="str">
        <f>IF(ISBLANK('S-Input'!O55)=TRUE," ",'S-Input'!O55)</f>
        <v xml:space="preserve"> </v>
      </c>
      <c r="P49" s="17">
        <v>54</v>
      </c>
      <c r="R49" s="1">
        <f>'S-Input'!T55</f>
        <v>0</v>
      </c>
    </row>
    <row r="50" spans="2:18" ht="12" customHeight="1">
      <c r="B50" s="17">
        <v>55</v>
      </c>
      <c r="C50" s="18" t="str">
        <f>IF(ISBLANK('S-Input'!C56)=TRUE," ",'S-Input'!C56)</f>
        <v xml:space="preserve"> </v>
      </c>
      <c r="D50" s="19" t="str">
        <f>IF(ISBLANK('S-Input'!D56)=TRUE," ",'S-Input'!D56)</f>
        <v xml:space="preserve"> </v>
      </c>
      <c r="E50" s="496" t="str">
        <f>IF(ISBLANK('S-Input'!E56)=TRUE," ",IF($H$13&lt;&gt;"AUTO"," ",'S-Input'!E56))</f>
        <v xml:space="preserve"> </v>
      </c>
      <c r="F50" s="18" t="str">
        <f>IF(ISBLANK('S-Input'!F56)=TRUE," ",IF($H$7="3Y",'S-Input'!F56," "))</f>
        <v xml:space="preserve"> </v>
      </c>
      <c r="G50" s="18" t="str">
        <f>IF(ISBLANK('S-Input'!G56)=TRUE," ",'S-Input'!G56)</f>
        <v>G</v>
      </c>
      <c r="H50" s="20" t="str">
        <f>IF(ISBLANK('S-Input'!H56)=TRUE," ",'S-Input'!H56)</f>
        <v xml:space="preserve"> </v>
      </c>
      <c r="I50" s="21" t="str">
        <f>'S-Input'!I56</f>
        <v>L2</v>
      </c>
      <c r="J50" s="20" t="str">
        <f>IF(ISBLANK('S-Input'!J56)=TRUE," ",'S-Input'!J56)</f>
        <v xml:space="preserve"> </v>
      </c>
      <c r="K50" s="18" t="str">
        <f>IF(ISBLANK('S-Input'!K56)=TRUE," ",'S-Input'!K56)</f>
        <v>G</v>
      </c>
      <c r="L50" s="18" t="str">
        <f>IF(ISBLANK('S-Input'!L56)=TRUE," ",IF($H$7="3Y",'S-Input'!L56," "))</f>
        <v xml:space="preserve"> </v>
      </c>
      <c r="M50" s="496" t="str">
        <f>IF(ISBLANK('S-Input'!M56)=TRUE," ",IF($H$13&lt;&gt;"AUTO"," ",'S-Input'!M56))</f>
        <v xml:space="preserve"> </v>
      </c>
      <c r="N50" s="19" t="str">
        <f>IF(ISBLANK('S-Input'!N56)=TRUE," ",'S-Input'!N56)</f>
        <v xml:space="preserve"> </v>
      </c>
      <c r="O50" s="18" t="str">
        <f>IF(ISBLANK('S-Input'!O56)=TRUE," ",'S-Input'!O56)</f>
        <v xml:space="preserve"> </v>
      </c>
      <c r="P50" s="17">
        <v>56</v>
      </c>
      <c r="R50" s="1">
        <f>'S-Input'!T56</f>
        <v>0</v>
      </c>
    </row>
    <row r="51" spans="2:18" ht="12" customHeight="1">
      <c r="B51" s="17">
        <v>57</v>
      </c>
      <c r="C51" s="18" t="str">
        <f>IF(ISBLANK('S-Input'!C57)=TRUE," ",'S-Input'!C57)</f>
        <v xml:space="preserve"> </v>
      </c>
      <c r="D51" s="19" t="str">
        <f>IF(ISBLANK('S-Input'!D57)=TRUE," ",'S-Input'!D57)</f>
        <v xml:space="preserve"> </v>
      </c>
      <c r="E51" s="496" t="str">
        <f>IF(ISBLANK('S-Input'!E57)=TRUE," ",IF($H$13&lt;&gt;"AUTO"," ",'S-Input'!E57))</f>
        <v xml:space="preserve"> </v>
      </c>
      <c r="F51" s="18" t="str">
        <f>IF(ISBLANK('S-Input'!F57)=TRUE," ",IF($H$7="3Y",'S-Input'!F57," "))</f>
        <v xml:space="preserve"> </v>
      </c>
      <c r="G51" s="18" t="str">
        <f>IF(ISBLANK('S-Input'!G57)=TRUE," ",'S-Input'!G57)</f>
        <v>G</v>
      </c>
      <c r="H51" s="20" t="str">
        <f>IF(ISBLANK('S-Input'!H57)=TRUE," ",'S-Input'!H57)</f>
        <v xml:space="preserve"> </v>
      </c>
      <c r="I51" s="21" t="str">
        <f>'S-Input'!I57</f>
        <v>L1</v>
      </c>
      <c r="J51" s="20" t="str">
        <f>IF(ISBLANK('S-Input'!J57)=TRUE," ",'S-Input'!J57)</f>
        <v xml:space="preserve"> </v>
      </c>
      <c r="K51" s="18" t="str">
        <f>IF(ISBLANK('S-Input'!K57)=TRUE," ",'S-Input'!K57)</f>
        <v>G</v>
      </c>
      <c r="L51" s="18" t="str">
        <f>IF(ISBLANK('S-Input'!L57)=TRUE," ",IF($H$7="3Y",'S-Input'!L57," "))</f>
        <v xml:space="preserve"> </v>
      </c>
      <c r="M51" s="496" t="str">
        <f>IF(ISBLANK('S-Input'!M57)=TRUE," ",IF($H$13&lt;&gt;"AUTO"," ",'S-Input'!M57))</f>
        <v xml:space="preserve"> </v>
      </c>
      <c r="N51" s="19" t="str">
        <f>IF(ISBLANK('S-Input'!N57)=TRUE," ",'S-Input'!N57)</f>
        <v xml:space="preserve"> </v>
      </c>
      <c r="O51" s="18" t="str">
        <f>IF(ISBLANK('S-Input'!O57)=TRUE," ",'S-Input'!O57)</f>
        <v xml:space="preserve"> </v>
      </c>
      <c r="P51" s="17">
        <v>58</v>
      </c>
      <c r="R51" s="1">
        <f>'S-Input'!T57</f>
        <v>0</v>
      </c>
    </row>
    <row r="52" spans="2:18" ht="12" customHeight="1">
      <c r="B52" s="17">
        <v>59</v>
      </c>
      <c r="C52" s="18" t="str">
        <f>IF(ISBLANK('S-Input'!C58)=TRUE," ",'S-Input'!C58)</f>
        <v xml:space="preserve"> </v>
      </c>
      <c r="D52" s="19" t="str">
        <f>IF(ISBLANK('S-Input'!D58)=TRUE," ",'S-Input'!D58)</f>
        <v xml:space="preserve"> </v>
      </c>
      <c r="E52" s="496" t="str">
        <f>IF(ISBLANK('S-Input'!E58)=TRUE," ",IF($H$13&lt;&gt;"AUTO"," ",'S-Input'!E58))</f>
        <v xml:space="preserve"> </v>
      </c>
      <c r="F52" s="18" t="str">
        <f>IF(ISBLANK('S-Input'!F58)=TRUE," ",IF($H$7="3Y",'S-Input'!F58," "))</f>
        <v xml:space="preserve"> </v>
      </c>
      <c r="G52" s="18" t="str">
        <f>IF(ISBLANK('S-Input'!G58)=TRUE," ",'S-Input'!G58)</f>
        <v>G</v>
      </c>
      <c r="H52" s="20" t="str">
        <f>IF(ISBLANK('S-Input'!H58)=TRUE," ",'S-Input'!H58)</f>
        <v xml:space="preserve"> </v>
      </c>
      <c r="I52" s="21" t="str">
        <f>'S-Input'!I58</f>
        <v>L2</v>
      </c>
      <c r="J52" s="20" t="str">
        <f>IF(ISBLANK('S-Input'!J58)=TRUE," ",'S-Input'!J58)</f>
        <v xml:space="preserve"> </v>
      </c>
      <c r="K52" s="18" t="str">
        <f>IF(ISBLANK('S-Input'!K58)=TRUE," ",'S-Input'!K58)</f>
        <v>G</v>
      </c>
      <c r="L52" s="18" t="str">
        <f>IF(ISBLANK('S-Input'!L58)=TRUE," ",IF($H$7="3Y",'S-Input'!L58," "))</f>
        <v xml:space="preserve"> </v>
      </c>
      <c r="M52" s="496" t="str">
        <f>IF(ISBLANK('S-Input'!M58)=TRUE," ",IF($H$13&lt;&gt;"AUTO"," ",'S-Input'!M58))</f>
        <v xml:space="preserve"> </v>
      </c>
      <c r="N52" s="19" t="str">
        <f>IF(ISBLANK('S-Input'!N58)=TRUE," ",'S-Input'!N58)</f>
        <v xml:space="preserve"> </v>
      </c>
      <c r="O52" s="18" t="str">
        <f>IF(ISBLANK('S-Input'!O58)=TRUE," ",'S-Input'!O58)</f>
        <v xml:space="preserve"> </v>
      </c>
      <c r="P52" s="17">
        <v>60</v>
      </c>
      <c r="R52" s="1">
        <f>'S-Input'!T58</f>
        <v>0</v>
      </c>
    </row>
    <row r="53" spans="2:18" ht="12" customHeight="1">
      <c r="B53" s="17">
        <v>61</v>
      </c>
      <c r="C53" s="18" t="str">
        <f>IF(ISBLANK('S-Input'!C59)=TRUE," ",'S-Input'!C59)</f>
        <v xml:space="preserve"> </v>
      </c>
      <c r="D53" s="19" t="str">
        <f>IF(ISBLANK('S-Input'!D59)=TRUE," ",'S-Input'!D59)</f>
        <v xml:space="preserve"> </v>
      </c>
      <c r="E53" s="496" t="str">
        <f>IF(ISBLANK('S-Input'!E59)=TRUE," ",IF($H$13&lt;&gt;"AUTO"," ",'S-Input'!E59))</f>
        <v xml:space="preserve"> </v>
      </c>
      <c r="F53" s="18" t="str">
        <f>IF(ISBLANK('S-Input'!F59)=TRUE," ",IF($H$7="3Y",'S-Input'!F59," "))</f>
        <v xml:space="preserve"> </v>
      </c>
      <c r="G53" s="18" t="str">
        <f>IF(ISBLANK('S-Input'!G59)=TRUE," ",'S-Input'!G59)</f>
        <v>G</v>
      </c>
      <c r="H53" s="20" t="str">
        <f>IF(ISBLANK('S-Input'!H59)=TRUE," ",'S-Input'!H59)</f>
        <v xml:space="preserve"> </v>
      </c>
      <c r="I53" s="21" t="str">
        <f>'S-Input'!I59</f>
        <v>L1</v>
      </c>
      <c r="J53" s="20" t="str">
        <f>IF(ISBLANK('S-Input'!J59)=TRUE," ",'S-Input'!J59)</f>
        <v xml:space="preserve"> </v>
      </c>
      <c r="K53" s="18" t="str">
        <f>IF(ISBLANK('S-Input'!K59)=TRUE," ",'S-Input'!K59)</f>
        <v>G</v>
      </c>
      <c r="L53" s="18" t="str">
        <f>IF(ISBLANK('S-Input'!L59)=TRUE," ",IF($H$7="3Y",'S-Input'!L59," "))</f>
        <v xml:space="preserve"> </v>
      </c>
      <c r="M53" s="496" t="str">
        <f>IF(ISBLANK('S-Input'!M59)=TRUE," ",IF($H$13&lt;&gt;"AUTO"," ",'S-Input'!M59))</f>
        <v xml:space="preserve"> </v>
      </c>
      <c r="N53" s="19" t="str">
        <f>IF(ISBLANK('S-Input'!N59)=TRUE," ",'S-Input'!N59)</f>
        <v xml:space="preserve"> </v>
      </c>
      <c r="O53" s="18" t="str">
        <f>IF(ISBLANK('S-Input'!O59)=TRUE," ",'S-Input'!O59)</f>
        <v xml:space="preserve"> </v>
      </c>
      <c r="P53" s="17">
        <v>62</v>
      </c>
      <c r="R53" s="1">
        <f>'S-Input'!T59</f>
        <v>0</v>
      </c>
    </row>
    <row r="54" spans="2:18" ht="12" customHeight="1">
      <c r="B54" s="17">
        <v>63</v>
      </c>
      <c r="C54" s="18" t="str">
        <f>IF(ISBLANK('S-Input'!C60)=TRUE," ",'S-Input'!C60)</f>
        <v xml:space="preserve"> </v>
      </c>
      <c r="D54" s="19" t="str">
        <f>IF(ISBLANK('S-Input'!D60)=TRUE," ",'S-Input'!D60)</f>
        <v xml:space="preserve"> </v>
      </c>
      <c r="E54" s="496" t="str">
        <f>IF(ISBLANK('S-Input'!E60)=TRUE," ",IF($H$13&lt;&gt;"AUTO"," ",'S-Input'!E60))</f>
        <v xml:space="preserve"> </v>
      </c>
      <c r="F54" s="18" t="str">
        <f>IF(ISBLANK('S-Input'!F60)=TRUE," ",IF($H$7="3Y",'S-Input'!F60," "))</f>
        <v xml:space="preserve"> </v>
      </c>
      <c r="G54" s="18" t="str">
        <f>IF(ISBLANK('S-Input'!G60)=TRUE," ",'S-Input'!G60)</f>
        <v>G</v>
      </c>
      <c r="H54" s="20" t="str">
        <f>IF(ISBLANK('S-Input'!H60)=TRUE," ",'S-Input'!H60)</f>
        <v xml:space="preserve"> </v>
      </c>
      <c r="I54" s="21" t="str">
        <f>'S-Input'!I60</f>
        <v>L2</v>
      </c>
      <c r="J54" s="20" t="str">
        <f>IF(ISBLANK('S-Input'!J60)=TRUE," ",'S-Input'!J60)</f>
        <v xml:space="preserve"> </v>
      </c>
      <c r="K54" s="18" t="str">
        <f>IF(ISBLANK('S-Input'!K60)=TRUE," ",'S-Input'!K60)</f>
        <v>G</v>
      </c>
      <c r="L54" s="18" t="str">
        <f>IF(ISBLANK('S-Input'!L60)=TRUE," ",IF($H$7="3Y",'S-Input'!L60," "))</f>
        <v xml:space="preserve"> </v>
      </c>
      <c r="M54" s="496" t="str">
        <f>IF(ISBLANK('S-Input'!M60)=TRUE," ",IF($H$13&lt;&gt;"AUTO"," ",'S-Input'!M60))</f>
        <v xml:space="preserve"> </v>
      </c>
      <c r="N54" s="19" t="str">
        <f>IF(ISBLANK('S-Input'!N60)=TRUE," ",'S-Input'!N60)</f>
        <v xml:space="preserve"> </v>
      </c>
      <c r="O54" s="18" t="str">
        <f>IF(ISBLANK('S-Input'!O60)=TRUE," ",'S-Input'!O60)</f>
        <v xml:space="preserve"> </v>
      </c>
      <c r="P54" s="17">
        <v>64</v>
      </c>
      <c r="R54" s="1">
        <f>'S-Input'!T60</f>
        <v>0</v>
      </c>
    </row>
    <row r="55" spans="2:18" ht="12" customHeight="1">
      <c r="B55" s="17">
        <v>65</v>
      </c>
      <c r="C55" s="18" t="str">
        <f>IF(ISBLANK('S-Input'!C61)=TRUE," ",'S-Input'!C61)</f>
        <v xml:space="preserve"> </v>
      </c>
      <c r="D55" s="19" t="str">
        <f>IF(ISBLANK('S-Input'!D61)=TRUE," ",'S-Input'!D61)</f>
        <v xml:space="preserve"> </v>
      </c>
      <c r="E55" s="496" t="str">
        <f>IF(ISBLANK('S-Input'!E61)=TRUE," ",IF($H$13&lt;&gt;"AUTO"," ",'S-Input'!E61))</f>
        <v xml:space="preserve"> </v>
      </c>
      <c r="F55" s="18" t="str">
        <f>IF(ISBLANK('S-Input'!F61)=TRUE," ",IF($H$7="3Y",'S-Input'!F61," "))</f>
        <v xml:space="preserve"> </v>
      </c>
      <c r="G55" s="18" t="str">
        <f>IF(ISBLANK('S-Input'!G61)=TRUE," ",'S-Input'!G61)</f>
        <v>G</v>
      </c>
      <c r="H55" s="20" t="str">
        <f>IF(ISBLANK('S-Input'!H61)=TRUE," ",'S-Input'!H61)</f>
        <v xml:space="preserve"> </v>
      </c>
      <c r="I55" s="21" t="str">
        <f>'S-Input'!I61</f>
        <v>L1</v>
      </c>
      <c r="J55" s="20" t="str">
        <f>IF(ISBLANK('S-Input'!J61)=TRUE," ",'S-Input'!J61)</f>
        <v xml:space="preserve"> </v>
      </c>
      <c r="K55" s="18" t="str">
        <f>IF(ISBLANK('S-Input'!K61)=TRUE," ",'S-Input'!K61)</f>
        <v>G</v>
      </c>
      <c r="L55" s="18" t="str">
        <f>IF(ISBLANK('S-Input'!L61)=TRUE," ",IF($H$7="3Y",'S-Input'!L61," "))</f>
        <v xml:space="preserve"> </v>
      </c>
      <c r="M55" s="496" t="str">
        <f>IF(ISBLANK('S-Input'!M61)=TRUE," ",IF($H$13&lt;&gt;"AUTO"," ",'S-Input'!M61))</f>
        <v xml:space="preserve"> </v>
      </c>
      <c r="N55" s="19" t="str">
        <f>IF(ISBLANK('S-Input'!N61)=TRUE," ",'S-Input'!N61)</f>
        <v xml:space="preserve"> </v>
      </c>
      <c r="O55" s="18" t="str">
        <f>IF(ISBLANK('S-Input'!O61)=TRUE," ",'S-Input'!O61)</f>
        <v xml:space="preserve"> </v>
      </c>
      <c r="P55" s="17">
        <v>66</v>
      </c>
      <c r="R55" s="1">
        <f>'S-Input'!T61</f>
        <v>0</v>
      </c>
    </row>
    <row r="56" spans="2:18" ht="12" customHeight="1">
      <c r="B56" s="17">
        <v>67</v>
      </c>
      <c r="C56" s="18" t="str">
        <f>IF(ISBLANK('S-Input'!C62)=TRUE," ",'S-Input'!C62)</f>
        <v xml:space="preserve"> </v>
      </c>
      <c r="D56" s="19" t="str">
        <f>IF(ISBLANK('S-Input'!D62)=TRUE," ",'S-Input'!D62)</f>
        <v xml:space="preserve"> </v>
      </c>
      <c r="E56" s="496" t="str">
        <f>IF(ISBLANK('S-Input'!E62)=TRUE," ",IF($H$13&lt;&gt;"AUTO"," ",'S-Input'!E62))</f>
        <v xml:space="preserve"> </v>
      </c>
      <c r="F56" s="18" t="str">
        <f>IF(ISBLANK('S-Input'!F62)=TRUE," ",IF($H$7="3Y",'S-Input'!F62," "))</f>
        <v xml:space="preserve"> </v>
      </c>
      <c r="G56" s="18" t="str">
        <f>IF(ISBLANK('S-Input'!G62)=TRUE," ",'S-Input'!G62)</f>
        <v>G</v>
      </c>
      <c r="H56" s="20" t="str">
        <f>IF(ISBLANK('S-Input'!H62)=TRUE," ",'S-Input'!H62)</f>
        <v xml:space="preserve"> </v>
      </c>
      <c r="I56" s="21" t="str">
        <f>'S-Input'!I62</f>
        <v>L2</v>
      </c>
      <c r="J56" s="20" t="str">
        <f>IF(ISBLANK('S-Input'!J62)=TRUE," ",'S-Input'!J62)</f>
        <v xml:space="preserve"> </v>
      </c>
      <c r="K56" s="18" t="str">
        <f>IF(ISBLANK('S-Input'!K62)=TRUE," ",'S-Input'!K62)</f>
        <v>G</v>
      </c>
      <c r="L56" s="18" t="str">
        <f>IF(ISBLANK('S-Input'!L62)=TRUE," ",IF($H$7="3Y",'S-Input'!L62," "))</f>
        <v xml:space="preserve"> </v>
      </c>
      <c r="M56" s="496" t="str">
        <f>IF(ISBLANK('S-Input'!M62)=TRUE," ",IF($H$13&lt;&gt;"AUTO"," ",'S-Input'!M62))</f>
        <v xml:space="preserve"> </v>
      </c>
      <c r="N56" s="19" t="str">
        <f>IF(ISBLANK('S-Input'!N62)=TRUE," ",'S-Input'!N62)</f>
        <v xml:space="preserve"> </v>
      </c>
      <c r="O56" s="18" t="str">
        <f>IF(ISBLANK('S-Input'!O62)=TRUE," ",'S-Input'!O62)</f>
        <v xml:space="preserve"> </v>
      </c>
      <c r="P56" s="17">
        <v>68</v>
      </c>
      <c r="R56" s="1">
        <f>'S-Input'!T62</f>
        <v>0</v>
      </c>
    </row>
    <row r="57" spans="2:18" ht="12" customHeight="1">
      <c r="B57" s="17">
        <v>69</v>
      </c>
      <c r="C57" s="18" t="str">
        <f>IF(ISBLANK('S-Input'!C63)=TRUE," ",'S-Input'!C63)</f>
        <v xml:space="preserve"> </v>
      </c>
      <c r="D57" s="19" t="str">
        <f>IF(ISBLANK('S-Input'!D63)=TRUE," ",'S-Input'!D63)</f>
        <v xml:space="preserve"> </v>
      </c>
      <c r="E57" s="496" t="str">
        <f>IF(ISBLANK('S-Input'!E63)=TRUE," ",IF($H$13&lt;&gt;"AUTO"," ",'S-Input'!E63))</f>
        <v xml:space="preserve"> </v>
      </c>
      <c r="F57" s="18" t="str">
        <f>IF(ISBLANK('S-Input'!F63)=TRUE," ",IF($H$7="3Y",'S-Input'!F63," "))</f>
        <v xml:space="preserve"> </v>
      </c>
      <c r="G57" s="18" t="str">
        <f>IF(ISBLANK('S-Input'!G63)=TRUE," ",'S-Input'!G63)</f>
        <v>G</v>
      </c>
      <c r="H57" s="20" t="str">
        <f>IF(ISBLANK('S-Input'!H63)=TRUE," ",'S-Input'!H63)</f>
        <v xml:space="preserve"> </v>
      </c>
      <c r="I57" s="21" t="str">
        <f>'S-Input'!I63</f>
        <v>L1</v>
      </c>
      <c r="J57" s="20" t="str">
        <f>IF(ISBLANK('S-Input'!J63)=TRUE," ",'S-Input'!J63)</f>
        <v xml:space="preserve"> </v>
      </c>
      <c r="K57" s="18" t="str">
        <f>IF(ISBLANK('S-Input'!K63)=TRUE," ",'S-Input'!K63)</f>
        <v>G</v>
      </c>
      <c r="L57" s="18" t="str">
        <f>IF(ISBLANK('S-Input'!L63)=TRUE," ",IF($H$7="3Y",'S-Input'!L63," "))</f>
        <v xml:space="preserve"> </v>
      </c>
      <c r="M57" s="496" t="str">
        <f>IF(ISBLANK('S-Input'!M63)=TRUE," ",IF($H$13&lt;&gt;"AUTO"," ",'S-Input'!M63))</f>
        <v xml:space="preserve"> </v>
      </c>
      <c r="N57" s="19" t="str">
        <f>IF(ISBLANK('S-Input'!N63)=TRUE," ",'S-Input'!N63)</f>
        <v xml:space="preserve"> </v>
      </c>
      <c r="O57" s="18" t="str">
        <f>IF(ISBLANK('S-Input'!O63)=TRUE," ",'S-Input'!O63)</f>
        <v xml:space="preserve"> </v>
      </c>
      <c r="P57" s="17">
        <v>70</v>
      </c>
      <c r="R57" s="1">
        <f>'S-Input'!T63</f>
        <v>0</v>
      </c>
    </row>
    <row r="58" spans="2:18" ht="12" customHeight="1">
      <c r="B58" s="17">
        <v>71</v>
      </c>
      <c r="C58" s="18" t="str">
        <f>IF(ISBLANK('S-Input'!C64)=TRUE," ",'S-Input'!C64)</f>
        <v xml:space="preserve"> </v>
      </c>
      <c r="D58" s="19" t="str">
        <f>IF(ISBLANK('S-Input'!D64)=TRUE," ",'S-Input'!D64)</f>
        <v xml:space="preserve"> </v>
      </c>
      <c r="E58" s="496" t="str">
        <f>IF(ISBLANK('S-Input'!E64)=TRUE," ",IF($H$13&lt;&gt;"AUTO"," ",'S-Input'!E64))</f>
        <v xml:space="preserve"> </v>
      </c>
      <c r="F58" s="18" t="str">
        <f>IF(ISBLANK('S-Input'!F64)=TRUE," ",IF($H$7="3Y",'S-Input'!F64," "))</f>
        <v xml:space="preserve"> </v>
      </c>
      <c r="G58" s="18" t="str">
        <f>IF(ISBLANK('S-Input'!G64)=TRUE," ",'S-Input'!G64)</f>
        <v>G</v>
      </c>
      <c r="H58" s="20" t="str">
        <f>IF(ISBLANK('S-Input'!H64)=TRUE," ",'S-Input'!H64)</f>
        <v xml:space="preserve"> </v>
      </c>
      <c r="I58" s="21" t="str">
        <f>'S-Input'!I64</f>
        <v>L2</v>
      </c>
      <c r="J58" s="20" t="str">
        <f>IF(ISBLANK('S-Input'!J64)=TRUE," ",'S-Input'!J64)</f>
        <v xml:space="preserve"> </v>
      </c>
      <c r="K58" s="18" t="str">
        <f>IF(ISBLANK('S-Input'!K64)=TRUE," ",'S-Input'!K64)</f>
        <v>G</v>
      </c>
      <c r="L58" s="18" t="str">
        <f>IF(ISBLANK('S-Input'!L64)=TRUE," ",IF($H$7="3Y",'S-Input'!L64," "))</f>
        <v xml:space="preserve"> </v>
      </c>
      <c r="M58" s="496" t="str">
        <f>IF(ISBLANK('S-Input'!M64)=TRUE," ",IF($H$13&lt;&gt;"AUTO"," ",'S-Input'!M64))</f>
        <v xml:space="preserve"> </v>
      </c>
      <c r="N58" s="19" t="str">
        <f>IF(ISBLANK('S-Input'!N64)=TRUE," ",'S-Input'!N64)</f>
        <v xml:space="preserve"> </v>
      </c>
      <c r="O58" s="18" t="str">
        <f>IF(ISBLANK('S-Input'!O64)=TRUE," ",'S-Input'!O64)</f>
        <v xml:space="preserve"> </v>
      </c>
      <c r="P58" s="17">
        <v>72</v>
      </c>
      <c r="R58" s="1">
        <f>'S-Input'!T64</f>
        <v>0</v>
      </c>
    </row>
    <row r="59" spans="2:18" ht="12" customHeight="1">
      <c r="B59" s="17">
        <v>73</v>
      </c>
      <c r="C59" s="18" t="str">
        <f>IF(ISBLANK('S-Input'!C65)=TRUE," ",'S-Input'!C65)</f>
        <v xml:space="preserve"> </v>
      </c>
      <c r="D59" s="19" t="str">
        <f>IF(ISBLANK('S-Input'!D65)=TRUE," ",'S-Input'!D65)</f>
        <v xml:space="preserve"> </v>
      </c>
      <c r="E59" s="496" t="str">
        <f>IF(ISBLANK('S-Input'!E65)=TRUE," ",IF($H$13&lt;&gt;"AUTO"," ",'S-Input'!E65))</f>
        <v xml:space="preserve"> </v>
      </c>
      <c r="F59" s="18" t="str">
        <f>IF(ISBLANK('S-Input'!F65)=TRUE," ",IF($H$7="3Y",'S-Input'!F65," "))</f>
        <v xml:space="preserve"> </v>
      </c>
      <c r="G59" s="18" t="str">
        <f>IF(ISBLANK('S-Input'!G65)=TRUE," ",'S-Input'!G65)</f>
        <v>G</v>
      </c>
      <c r="H59" s="20" t="str">
        <f>IF(ISBLANK('S-Input'!H65)=TRUE," ",'S-Input'!H65)</f>
        <v xml:space="preserve"> </v>
      </c>
      <c r="I59" s="21" t="str">
        <f>'S-Input'!I65</f>
        <v>L1</v>
      </c>
      <c r="J59" s="20" t="str">
        <f>IF(ISBLANK('S-Input'!J65)=TRUE," ",'S-Input'!J65)</f>
        <v xml:space="preserve"> </v>
      </c>
      <c r="K59" s="18" t="str">
        <f>IF(ISBLANK('S-Input'!K65)=TRUE," ",'S-Input'!K65)</f>
        <v>G</v>
      </c>
      <c r="L59" s="18" t="str">
        <f>IF(ISBLANK('S-Input'!L65)=TRUE," ",IF($H$7="3Y",'S-Input'!L65," "))</f>
        <v xml:space="preserve"> </v>
      </c>
      <c r="M59" s="496" t="str">
        <f>IF(ISBLANK('S-Input'!M65)=TRUE," ",IF($H$13&lt;&gt;"AUTO"," ",'S-Input'!M65))</f>
        <v xml:space="preserve"> </v>
      </c>
      <c r="N59" s="19" t="str">
        <f>IF(ISBLANK('S-Input'!N65)=TRUE," ",'S-Input'!N65)</f>
        <v xml:space="preserve"> </v>
      </c>
      <c r="O59" s="18" t="str">
        <f>IF(ISBLANK('S-Input'!O65)=TRUE," ",'S-Input'!O65)</f>
        <v xml:space="preserve"> </v>
      </c>
      <c r="P59" s="17">
        <v>74</v>
      </c>
      <c r="R59" s="1">
        <f>'S-Input'!T65</f>
        <v>0</v>
      </c>
    </row>
    <row r="60" spans="2:18" ht="12" customHeight="1">
      <c r="B60" s="17">
        <v>75</v>
      </c>
      <c r="C60" s="18" t="str">
        <f>IF(ISBLANK('S-Input'!C66)=TRUE," ",'S-Input'!C66)</f>
        <v xml:space="preserve"> </v>
      </c>
      <c r="D60" s="19" t="str">
        <f>IF(ISBLANK('S-Input'!D66)=TRUE," ",'S-Input'!D66)</f>
        <v xml:space="preserve"> </v>
      </c>
      <c r="E60" s="496" t="str">
        <f>IF(ISBLANK('S-Input'!E66)=TRUE," ",IF($H$13&lt;&gt;"AUTO"," ",'S-Input'!E66))</f>
        <v xml:space="preserve"> </v>
      </c>
      <c r="F60" s="18" t="str">
        <f>IF(ISBLANK('S-Input'!F66)=TRUE," ",IF($H$7="3Y",'S-Input'!F66," "))</f>
        <v xml:space="preserve"> </v>
      </c>
      <c r="G60" s="18" t="str">
        <f>IF(ISBLANK('S-Input'!G66)=TRUE," ",'S-Input'!G66)</f>
        <v>G</v>
      </c>
      <c r="H60" s="20" t="str">
        <f>IF(ISBLANK('S-Input'!H66)=TRUE," ",'S-Input'!H66)</f>
        <v xml:space="preserve"> </v>
      </c>
      <c r="I60" s="21" t="str">
        <f>'S-Input'!I66</f>
        <v>L2</v>
      </c>
      <c r="J60" s="20" t="str">
        <f>IF(ISBLANK('S-Input'!J66)=TRUE," ",'S-Input'!J66)</f>
        <v xml:space="preserve"> </v>
      </c>
      <c r="K60" s="18" t="str">
        <f>IF(ISBLANK('S-Input'!K66)=TRUE," ",'S-Input'!K66)</f>
        <v>G</v>
      </c>
      <c r="L60" s="18" t="str">
        <f>IF(ISBLANK('S-Input'!L66)=TRUE," ",IF($H$7="3Y",'S-Input'!L66," "))</f>
        <v xml:space="preserve"> </v>
      </c>
      <c r="M60" s="496" t="str">
        <f>IF(ISBLANK('S-Input'!M66)=TRUE," ",IF($H$13&lt;&gt;"AUTO"," ",'S-Input'!M66))</f>
        <v xml:space="preserve"> </v>
      </c>
      <c r="N60" s="19" t="str">
        <f>IF(ISBLANK('S-Input'!N66)=TRUE," ",'S-Input'!N66)</f>
        <v xml:space="preserve"> </v>
      </c>
      <c r="O60" s="18" t="str">
        <f>IF(ISBLANK('S-Input'!O66)=TRUE," ",'S-Input'!O66)</f>
        <v xml:space="preserve"> </v>
      </c>
      <c r="P60" s="17">
        <v>76</v>
      </c>
      <c r="R60" s="1">
        <f>'S-Input'!T66</f>
        <v>0</v>
      </c>
    </row>
    <row r="61" spans="2:18" ht="12" customHeight="1">
      <c r="B61" s="17">
        <v>77</v>
      </c>
      <c r="C61" s="18" t="str">
        <f>IF(ISBLANK('S-Input'!C67)=TRUE," ",'S-Input'!C67)</f>
        <v xml:space="preserve"> </v>
      </c>
      <c r="D61" s="19" t="str">
        <f>IF(ISBLANK('S-Input'!D67)=TRUE," ",'S-Input'!D67)</f>
        <v xml:space="preserve"> </v>
      </c>
      <c r="E61" s="496" t="str">
        <f>IF(ISBLANK('S-Input'!E67)=TRUE," ",IF($H$13&lt;&gt;"AUTO"," ",'S-Input'!E67))</f>
        <v xml:space="preserve"> </v>
      </c>
      <c r="F61" s="18" t="str">
        <f>IF(ISBLANK('S-Input'!F67)=TRUE," ",IF($H$7="3Y",'S-Input'!F67," "))</f>
        <v xml:space="preserve"> </v>
      </c>
      <c r="G61" s="18" t="str">
        <f>IF(ISBLANK('S-Input'!G67)=TRUE," ",'S-Input'!G67)</f>
        <v>G</v>
      </c>
      <c r="H61" s="20" t="str">
        <f>IF(ISBLANK('S-Input'!H67)=TRUE," ",'S-Input'!H67)</f>
        <v xml:space="preserve"> </v>
      </c>
      <c r="I61" s="21" t="str">
        <f>'S-Input'!I67</f>
        <v>L1</v>
      </c>
      <c r="J61" s="20" t="str">
        <f>IF(ISBLANK('S-Input'!J67)=TRUE," ",'S-Input'!J67)</f>
        <v xml:space="preserve"> </v>
      </c>
      <c r="K61" s="18" t="str">
        <f>IF(ISBLANK('S-Input'!K67)=TRUE," ",'S-Input'!K67)</f>
        <v>G</v>
      </c>
      <c r="L61" s="18" t="str">
        <f>IF(ISBLANK('S-Input'!L67)=TRUE," ",IF($H$7="3Y",'S-Input'!L67," "))</f>
        <v xml:space="preserve"> </v>
      </c>
      <c r="M61" s="496" t="str">
        <f>IF(ISBLANK('S-Input'!M67)=TRUE," ",IF($H$13&lt;&gt;"AUTO"," ",'S-Input'!M67))</f>
        <v xml:space="preserve"> </v>
      </c>
      <c r="N61" s="19" t="str">
        <f>IF(ISBLANK('S-Input'!N67)=TRUE," ",'S-Input'!N67)</f>
        <v xml:space="preserve"> </v>
      </c>
      <c r="O61" s="18" t="str">
        <f>IF(ISBLANK('S-Input'!O67)=TRUE," ",'S-Input'!O67)</f>
        <v xml:space="preserve"> </v>
      </c>
      <c r="P61" s="17">
        <v>78</v>
      </c>
      <c r="R61" s="1">
        <f>'S-Input'!T67</f>
        <v>0</v>
      </c>
    </row>
    <row r="62" spans="2:18" ht="12" customHeight="1">
      <c r="B62" s="17">
        <v>79</v>
      </c>
      <c r="C62" s="18" t="str">
        <f>IF(ISBLANK('S-Input'!C68)=TRUE," ",'S-Input'!C68)</f>
        <v xml:space="preserve"> </v>
      </c>
      <c r="D62" s="19" t="str">
        <f>IF(ISBLANK('S-Input'!D68)=TRUE," ",'S-Input'!D68)</f>
        <v xml:space="preserve"> </v>
      </c>
      <c r="E62" s="496" t="str">
        <f>IF(ISBLANK('S-Input'!E68)=TRUE," ",IF($H$13&lt;&gt;"AUTO"," ",'S-Input'!E68))</f>
        <v xml:space="preserve"> </v>
      </c>
      <c r="F62" s="18" t="str">
        <f>IF(ISBLANK('S-Input'!F68)=TRUE," ",IF($H$7="3Y",'S-Input'!F68," "))</f>
        <v xml:space="preserve"> </v>
      </c>
      <c r="G62" s="18" t="str">
        <f>IF(ISBLANK('S-Input'!G68)=TRUE," ",'S-Input'!G68)</f>
        <v>G</v>
      </c>
      <c r="H62" s="20" t="str">
        <f>IF(ISBLANK('S-Input'!H68)=TRUE," ",'S-Input'!H68)</f>
        <v xml:space="preserve"> </v>
      </c>
      <c r="I62" s="21" t="str">
        <f>'S-Input'!I68</f>
        <v>L2</v>
      </c>
      <c r="J62" s="20" t="str">
        <f>IF(ISBLANK('S-Input'!J68)=TRUE," ",'S-Input'!J68)</f>
        <v xml:space="preserve"> </v>
      </c>
      <c r="K62" s="18" t="str">
        <f>IF(ISBLANK('S-Input'!K68)=TRUE," ",'S-Input'!K68)</f>
        <v>G</v>
      </c>
      <c r="L62" s="18" t="str">
        <f>IF(ISBLANK('S-Input'!L68)=TRUE," ",IF($H$7="3Y",'S-Input'!L68," "))</f>
        <v xml:space="preserve"> </v>
      </c>
      <c r="M62" s="496" t="str">
        <f>IF(ISBLANK('S-Input'!M68)=TRUE," ",IF($H$13&lt;&gt;"AUTO"," ",'S-Input'!M68))</f>
        <v xml:space="preserve"> </v>
      </c>
      <c r="N62" s="19" t="str">
        <f>IF(ISBLANK('S-Input'!N68)=TRUE," ",'S-Input'!N68)</f>
        <v xml:space="preserve"> </v>
      </c>
      <c r="O62" s="18" t="str">
        <f>IF(ISBLANK('S-Input'!O68)=TRUE," ",'S-Input'!O68)</f>
        <v xml:space="preserve"> </v>
      </c>
      <c r="P62" s="17">
        <v>80</v>
      </c>
      <c r="R62" s="1">
        <f>'S-Input'!T68</f>
        <v>0</v>
      </c>
    </row>
    <row r="63" spans="2:18" ht="12" customHeight="1">
      <c r="B63" s="17">
        <v>81</v>
      </c>
      <c r="C63" s="18" t="str">
        <f>IF(ISBLANK('S-Input'!C69)=TRUE," ",'S-Input'!C69)</f>
        <v xml:space="preserve"> </v>
      </c>
      <c r="D63" s="19" t="str">
        <f>IF(ISBLANK('S-Input'!D69)=TRUE," ",'S-Input'!D69)</f>
        <v xml:space="preserve"> </v>
      </c>
      <c r="E63" s="496" t="str">
        <f>IF(ISBLANK('S-Input'!E69)=TRUE," ",IF($H$13&lt;&gt;"AUTO"," ",'S-Input'!E69))</f>
        <v xml:space="preserve"> </v>
      </c>
      <c r="F63" s="18" t="str">
        <f>IF(ISBLANK('S-Input'!F69)=TRUE," ",IF($H$7="3Y",'S-Input'!F69," "))</f>
        <v xml:space="preserve"> </v>
      </c>
      <c r="G63" s="18" t="str">
        <f>IF(ISBLANK('S-Input'!G69)=TRUE," ",'S-Input'!G69)</f>
        <v>G</v>
      </c>
      <c r="H63" s="20" t="str">
        <f>IF(ISBLANK('S-Input'!H69)=TRUE," ",'S-Input'!H69)</f>
        <v xml:space="preserve"> </v>
      </c>
      <c r="I63" s="21" t="str">
        <f>'S-Input'!I69</f>
        <v>L1</v>
      </c>
      <c r="J63" s="20" t="str">
        <f>IF(ISBLANK('S-Input'!J69)=TRUE," ",'S-Input'!J69)</f>
        <v xml:space="preserve"> </v>
      </c>
      <c r="K63" s="18" t="str">
        <f>IF(ISBLANK('S-Input'!K69)=TRUE," ",'S-Input'!K69)</f>
        <v>G</v>
      </c>
      <c r="L63" s="18" t="str">
        <f>IF(ISBLANK('S-Input'!L69)=TRUE," ",IF($H$7="3Y",'S-Input'!L69," "))</f>
        <v xml:space="preserve"> </v>
      </c>
      <c r="M63" s="496" t="str">
        <f>IF(ISBLANK('S-Input'!M69)=TRUE," ",IF($H$13&lt;&gt;"AUTO"," ",'S-Input'!M69))</f>
        <v xml:space="preserve"> </v>
      </c>
      <c r="N63" s="19" t="str">
        <f>IF(ISBLANK('S-Input'!N69)=TRUE," ",'S-Input'!N69)</f>
        <v xml:space="preserve"> </v>
      </c>
      <c r="O63" s="18" t="str">
        <f>IF(ISBLANK('S-Input'!O69)=TRUE," ",'S-Input'!O69)</f>
        <v xml:space="preserve"> </v>
      </c>
      <c r="P63" s="17">
        <v>82</v>
      </c>
      <c r="R63" s="1">
        <f>'S-Input'!T69</f>
        <v>0</v>
      </c>
    </row>
    <row r="64" spans="2:18" ht="12" customHeight="1">
      <c r="B64" s="17">
        <v>83</v>
      </c>
      <c r="C64" s="18" t="str">
        <f>IF(ISBLANK('S-Input'!C70)=TRUE," ",'S-Input'!C70)</f>
        <v xml:space="preserve"> </v>
      </c>
      <c r="D64" s="19" t="str">
        <f>IF(ISBLANK('S-Input'!D70)=TRUE," ",'S-Input'!D70)</f>
        <v xml:space="preserve"> </v>
      </c>
      <c r="E64" s="496" t="str">
        <f>IF(ISBLANK('S-Input'!E70)=TRUE," ",IF($H$13&lt;&gt;"AUTO"," ",'S-Input'!E70))</f>
        <v xml:space="preserve"> </v>
      </c>
      <c r="F64" s="18" t="str">
        <f>IF(ISBLANK('S-Input'!F70)=TRUE," ",IF($H$7="3Y",'S-Input'!F70," "))</f>
        <v xml:space="preserve"> </v>
      </c>
      <c r="G64" s="18" t="str">
        <f>IF(ISBLANK('S-Input'!G70)=TRUE," ",'S-Input'!G70)</f>
        <v>G</v>
      </c>
      <c r="H64" s="20" t="str">
        <f>IF(ISBLANK('S-Input'!H70)=TRUE," ",'S-Input'!H70)</f>
        <v xml:space="preserve"> </v>
      </c>
      <c r="I64" s="21" t="str">
        <f>'S-Input'!I70</f>
        <v>L2</v>
      </c>
      <c r="J64" s="20" t="str">
        <f>IF(ISBLANK('S-Input'!J70)=TRUE," ",'S-Input'!J70)</f>
        <v xml:space="preserve"> </v>
      </c>
      <c r="K64" s="18" t="str">
        <f>IF(ISBLANK('S-Input'!K70)=TRUE," ",'S-Input'!K70)</f>
        <v>G</v>
      </c>
      <c r="L64" s="18" t="str">
        <f>IF(ISBLANK('S-Input'!L70)=TRUE," ",IF($H$7="3Y",'S-Input'!L70," "))</f>
        <v xml:space="preserve"> </v>
      </c>
      <c r="M64" s="496" t="str">
        <f>IF(ISBLANK('S-Input'!M70)=TRUE," ",IF($H$13&lt;&gt;"AUTO"," ",'S-Input'!M70))</f>
        <v xml:space="preserve"> </v>
      </c>
      <c r="N64" s="19" t="str">
        <f>IF(ISBLANK('S-Input'!N70)=TRUE," ",'S-Input'!N70)</f>
        <v xml:space="preserve"> </v>
      </c>
      <c r="O64" s="18" t="str">
        <f>IF(ISBLANK('S-Input'!O70)=TRUE," ",'S-Input'!O70)</f>
        <v xml:space="preserve"> </v>
      </c>
      <c r="P64" s="17">
        <v>84</v>
      </c>
      <c r="R64" s="1">
        <f>'S-Input'!T70</f>
        <v>0</v>
      </c>
    </row>
    <row r="65" ht="12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t="12" hidden="1" customHeight="1"/>
    <row r="182" ht="12" hidden="1" customHeight="1"/>
    <row r="183" ht="12" hidden="1" customHeight="1"/>
    <row r="184" ht="12" hidden="1" customHeight="1"/>
    <row r="185" ht="12" hidden="1" customHeight="1"/>
    <row r="186" ht="12" hidden="1" customHeight="1"/>
    <row r="187" ht="12" hidden="1" customHeight="1"/>
    <row r="188" ht="12" hidden="1" customHeight="1"/>
    <row r="189" ht="12" hidden="1" customHeight="1"/>
    <row r="190" ht="12" hidden="1" customHeight="1"/>
    <row r="191" ht="12" hidden="1" customHeight="1"/>
    <row r="192" ht="12" hidden="1" customHeight="1"/>
    <row r="193" ht="12" hidden="1" customHeight="1"/>
    <row r="194" ht="12" hidden="1" customHeight="1"/>
    <row r="195" ht="12" hidden="1" customHeight="1"/>
    <row r="196" ht="12" hidden="1" customHeight="1"/>
    <row r="197" ht="12" hidden="1" customHeight="1"/>
    <row r="198" ht="12" hidden="1" customHeight="1"/>
    <row r="199" ht="12" hidden="1" customHeight="1"/>
    <row r="200" ht="12" hidden="1" customHeight="1"/>
    <row r="201" ht="12" hidden="1" customHeight="1"/>
    <row r="202" ht="12" hidden="1" customHeight="1"/>
    <row r="203" ht="12" hidden="1" customHeight="1"/>
    <row r="204" ht="12" hidden="1" customHeight="1"/>
    <row r="205" ht="12" hidden="1" customHeight="1"/>
    <row r="206" ht="12" hidden="1" customHeight="1"/>
    <row r="207" ht="12" hidden="1" customHeight="1"/>
    <row r="208" ht="12" hidden="1" customHeight="1"/>
    <row r="209" ht="12" hidden="1" customHeight="1"/>
    <row r="210" ht="12" hidden="1" customHeight="1"/>
    <row r="211" ht="12" hidden="1" customHeight="1"/>
    <row r="212" ht="12" hidden="1" customHeight="1"/>
    <row r="213" ht="12" hidden="1" customHeight="1"/>
  </sheetData>
  <sheetProtection password="DC0A" sheet="1" objects="1" scenarios="1"/>
  <phoneticPr fontId="0" type="noConversion"/>
  <conditionalFormatting sqref="Q20:Q64 B20:P22 P1:Q18 A1:B18 A20:A64 C2:J18 L2:O18 A19:J19 L19:Q19 K2:K19">
    <cfRule type="expression" dxfId="80" priority="1" stopIfTrue="1">
      <formula>IF($S$4&gt;0,TRUE,FALSE)</formula>
    </cfRule>
  </conditionalFormatting>
  <conditionalFormatting sqref="B23:P64">
    <cfRule type="expression" dxfId="79" priority="2" stopIfTrue="1">
      <formula>IF($S$4&gt;0,TRUE,FALSE)</formula>
    </cfRule>
    <cfRule type="expression" dxfId="78" priority="3" stopIfTrue="1">
      <formula>IF($R23=0,TRUE,FALSE)</formula>
    </cfRule>
  </conditionalFormatting>
  <conditionalFormatting sqref="C1:O1">
    <cfRule type="expression" dxfId="77" priority="4" stopIfTrue="1">
      <formula>IF($S$4&gt;0,TRUE,FALSE)</formula>
    </cfRule>
  </conditionalFormatting>
  <pageMargins left="0.5" right="0" top="0.5" bottom="0" header="0.5" footer="0.5"/>
  <pageSetup scale="80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IA420"/>
  <sheetViews>
    <sheetView showGridLines="0" showRowColHeaders="0" showOutlineSymbols="0" workbookViewId="0"/>
  </sheetViews>
  <sheetFormatPr defaultColWidth="0" defaultRowHeight="12" customHeight="1" zeroHeight="1"/>
  <cols>
    <col min="1" max="1" width="2.83203125" style="454" customWidth="1"/>
    <col min="2" max="2" width="2.5" style="454" customWidth="1"/>
    <col min="3" max="3" width="3.1640625" style="454" customWidth="1"/>
    <col min="4" max="4" width="4.5" style="454" customWidth="1"/>
    <col min="5" max="5" width="32.5" style="454" customWidth="1"/>
    <col min="6" max="6" width="9.33203125" style="454" customWidth="1"/>
    <col min="7" max="7" width="3.83203125" style="454" customWidth="1"/>
    <col min="8" max="8" width="4.83203125" style="454" customWidth="1"/>
    <col min="9" max="9" width="9.33203125" style="454" customWidth="1"/>
    <col min="10" max="10" width="3.83203125" style="454" customWidth="1"/>
    <col min="11" max="11" width="6.83203125" style="454" customWidth="1"/>
    <col min="12" max="12" width="9.33203125" style="454" customWidth="1"/>
    <col min="13" max="13" width="3.83203125" style="454" customWidth="1"/>
    <col min="14" max="14" width="4.83203125" style="454" customWidth="1"/>
    <col min="15" max="15" width="9.33203125" style="454" customWidth="1"/>
    <col min="16" max="16" width="3.83203125" style="454" customWidth="1"/>
    <col min="17" max="18" width="2.83203125" style="454" customWidth="1"/>
    <col min="19" max="235" width="10.83203125" style="454" hidden="1" customWidth="1"/>
    <col min="236" max="16384" width="0" style="454" hidden="1"/>
  </cols>
  <sheetData>
    <row r="1" spans="2:47" ht="12" customHeight="1">
      <c r="T1" s="454">
        <f>X24</f>
        <v>0</v>
      </c>
      <c r="AR1" s="454" t="s">
        <v>193</v>
      </c>
    </row>
    <row r="2" spans="2:47" ht="12" customHeight="1">
      <c r="B2" s="572"/>
      <c r="C2" s="573" t="str">
        <f>'S-Input'!W4</f>
        <v>LOAD CALCULATIONS FOR "PANEL HP2"</v>
      </c>
      <c r="D2" s="573"/>
      <c r="E2" s="573"/>
      <c r="F2" s="574"/>
      <c r="G2" s="575"/>
      <c r="H2" s="573"/>
      <c r="I2" s="573"/>
      <c r="J2" s="576"/>
      <c r="K2" s="576"/>
      <c r="L2" s="577"/>
      <c r="M2" s="489"/>
      <c r="N2" s="477"/>
      <c r="O2" s="477"/>
      <c r="P2" s="576" t="s">
        <v>986</v>
      </c>
      <c r="Q2" s="578"/>
      <c r="U2" s="454" t="s">
        <v>870</v>
      </c>
      <c r="V2" s="455" t="str">
        <f>Input!H8</f>
        <v>3Y</v>
      </c>
      <c r="Z2" s="454" t="s">
        <v>406</v>
      </c>
      <c r="AA2" s="453" t="s">
        <v>55</v>
      </c>
      <c r="AB2" s="453" t="s">
        <v>56</v>
      </c>
      <c r="AC2" s="453" t="s">
        <v>57</v>
      </c>
      <c r="AD2" s="453" t="s">
        <v>232</v>
      </c>
      <c r="AF2" s="454" t="s">
        <v>406</v>
      </c>
      <c r="AG2" s="453" t="s">
        <v>55</v>
      </c>
      <c r="AH2" s="453" t="s">
        <v>56</v>
      </c>
      <c r="AI2" s="453" t="s">
        <v>57</v>
      </c>
      <c r="AJ2" s="453" t="s">
        <v>232</v>
      </c>
      <c r="AL2" s="454" t="s">
        <v>406</v>
      </c>
      <c r="AM2" s="453" t="s">
        <v>55</v>
      </c>
      <c r="AN2" s="453" t="s">
        <v>56</v>
      </c>
      <c r="AO2" s="453" t="s">
        <v>57</v>
      </c>
      <c r="AP2" s="453" t="s">
        <v>232</v>
      </c>
      <c r="AR2" s="454" t="s">
        <v>63</v>
      </c>
      <c r="AS2" s="454" t="s">
        <v>55</v>
      </c>
      <c r="AT2" s="454" t="s">
        <v>56</v>
      </c>
      <c r="AU2" s="454" t="s">
        <v>57</v>
      </c>
    </row>
    <row r="3" spans="2:47" ht="12" customHeight="1">
      <c r="B3" s="558"/>
      <c r="C3" s="451" t="s">
        <v>986</v>
      </c>
      <c r="D3" s="457"/>
      <c r="E3" s="458"/>
      <c r="F3" s="451"/>
      <c r="G3" s="452"/>
      <c r="H3" s="459"/>
      <c r="I3" s="452"/>
      <c r="J3" s="453"/>
      <c r="K3" s="453"/>
      <c r="M3" s="460"/>
      <c r="N3" s="456"/>
      <c r="O3" s="456"/>
      <c r="P3" s="456"/>
      <c r="Q3" s="579"/>
      <c r="U3" s="454" t="s">
        <v>781</v>
      </c>
      <c r="V3" s="455" t="str">
        <f>'S-Input'!J8</f>
        <v>NONE</v>
      </c>
      <c r="Z3" s="454" t="s">
        <v>61</v>
      </c>
      <c r="AA3" s="454">
        <f>'S-Input'!AG76</f>
        <v>0</v>
      </c>
      <c r="AB3" s="454">
        <f>'S-Input'!AI76</f>
        <v>0</v>
      </c>
      <c r="AD3" s="454">
        <f>SUM(AA3:AC3)</f>
        <v>0</v>
      </c>
      <c r="AF3" s="454" t="s">
        <v>61</v>
      </c>
      <c r="AG3" s="454">
        <f>'S-Input'!AG76</f>
        <v>0</v>
      </c>
      <c r="AI3" s="454">
        <f>IF(AND(V6=1,V15="3D"),'S-Input'!AI76,IF(AND(V6=1,V15=1,V2="3D"),'S-Input'!AI76,'S-Input'!AK76))</f>
        <v>0</v>
      </c>
      <c r="AJ3" s="454">
        <f>SUM(AG3:AI3)</f>
        <v>0</v>
      </c>
      <c r="AL3" s="454" t="s">
        <v>61</v>
      </c>
      <c r="AM3" s="454">
        <f>'S-Input'!AG76</f>
        <v>0</v>
      </c>
      <c r="AN3" s="454">
        <f>'S-Input'!AI76</f>
        <v>0</v>
      </c>
      <c r="AO3" s="454">
        <f>'S-Input'!AK76</f>
        <v>0</v>
      </c>
      <c r="AP3" s="454">
        <f>SUM(AM3:AO3)</f>
        <v>0</v>
      </c>
      <c r="AR3" s="454" t="s">
        <v>835</v>
      </c>
      <c r="AS3" s="454">
        <f>'S-Input'!AU77</f>
        <v>0</v>
      </c>
      <c r="AT3" s="454">
        <f>IF(AND(V6=1,V15="3D",V2="3D")," ",IF(AND(V6=1,V15=1,V2="3D")," ",'S-Input'!AW77))</f>
        <v>0</v>
      </c>
      <c r="AU3" s="454">
        <f>IF(AND(V6=1,V15="3D",V2="3D"),'S-Input'!AW77,IF(AND(V6=1,V15=1,V2="3D"),'S-Input'!AW77,'S-Input'!AY77))</f>
        <v>0</v>
      </c>
    </row>
    <row r="4" spans="2:47" ht="12" customHeight="1">
      <c r="B4" s="558"/>
      <c r="C4" s="461"/>
      <c r="D4" s="461"/>
      <c r="E4" s="458"/>
      <c r="F4" s="453" t="s">
        <v>55</v>
      </c>
      <c r="H4" s="450"/>
      <c r="I4" s="453" t="s">
        <v>56</v>
      </c>
      <c r="J4" s="453"/>
      <c r="K4" s="453"/>
      <c r="L4" s="453" t="str">
        <f>IF(V6="3Y","L3"," ")</f>
        <v xml:space="preserve"> </v>
      </c>
      <c r="M4" s="453"/>
      <c r="N4" s="453"/>
      <c r="O4" s="456"/>
      <c r="P4" s="456" t="str">
        <f>IF(V10="AUTO","NEUTRAL "," ")</f>
        <v xml:space="preserve"> </v>
      </c>
      <c r="Q4" s="579"/>
      <c r="V4" s="451"/>
      <c r="W4" s="451"/>
      <c r="X4" s="451"/>
      <c r="AA4" s="454">
        <v>10000</v>
      </c>
      <c r="AB4" s="454">
        <v>10000</v>
      </c>
      <c r="AG4" s="454">
        <v>10000</v>
      </c>
      <c r="AI4" s="454">
        <v>10000</v>
      </c>
      <c r="AM4" s="454">
        <v>10000</v>
      </c>
      <c r="AN4" s="454">
        <v>10000</v>
      </c>
      <c r="AO4" s="454">
        <v>10000</v>
      </c>
    </row>
    <row r="5" spans="2:47" ht="12" customHeight="1">
      <c r="B5" s="558"/>
      <c r="C5" s="461" t="s">
        <v>248</v>
      </c>
      <c r="D5" s="451"/>
      <c r="E5" s="462"/>
      <c r="F5" s="456">
        <f>IF(V6=1,'S-Input'!W76,IF(V6="3D",'S-Input'!W76,IF(V6="3Y",'S-Input'!W76,0)))</f>
        <v>0</v>
      </c>
      <c r="G5" s="463" t="s">
        <v>90</v>
      </c>
      <c r="H5" s="464"/>
      <c r="I5" s="456">
        <f>'S-Input'!X76</f>
        <v>0</v>
      </c>
      <c r="J5" s="455" t="s">
        <v>90</v>
      </c>
      <c r="K5" s="455"/>
      <c r="L5" s="456" t="str">
        <f>IF(V6="3Y",'S-Input'!Y76," ")</f>
        <v xml:space="preserve"> </v>
      </c>
      <c r="M5" s="245" t="str">
        <f>IF(V6="3Y","VA"," ")</f>
        <v xml:space="preserve"> </v>
      </c>
      <c r="N5" s="456"/>
      <c r="O5" s="456" t="str">
        <f>IF(V10&lt;&gt;"AUTO"," ",'S-Input'!BR87)</f>
        <v xml:space="preserve"> </v>
      </c>
      <c r="P5" s="245" t="str">
        <f>IF(V10="AUTO","VA"," ")</f>
        <v xml:space="preserve"> </v>
      </c>
      <c r="Q5" s="579"/>
      <c r="T5" s="455">
        <f>IF('S-Input'!S4="NONE",999,IF(Input!O6="ERROR",777,'S-Input'!CF14))</f>
        <v>999</v>
      </c>
      <c r="V5" s="455">
        <f>'S-Input'!H8</f>
        <v>1</v>
      </c>
      <c r="Z5" s="454" t="s">
        <v>401</v>
      </c>
      <c r="AA5" s="454" t="e">
        <f>AA3/AD3</f>
        <v>#DIV/0!</v>
      </c>
      <c r="AB5" s="454" t="e">
        <f>AB3/AD3</f>
        <v>#DIV/0!</v>
      </c>
      <c r="AD5" s="454" t="e">
        <f>SUM(AA5:AC5)</f>
        <v>#DIV/0!</v>
      </c>
      <c r="AF5" s="454" t="s">
        <v>402</v>
      </c>
      <c r="AG5" s="454" t="e">
        <f>AG3/AJ3</f>
        <v>#DIV/0!</v>
      </c>
      <c r="AI5" s="454" t="e">
        <f>AI3/AJ3</f>
        <v>#DIV/0!</v>
      </c>
      <c r="AJ5" s="454" t="e">
        <f>SUM(AG5:AI5)</f>
        <v>#DIV/0!</v>
      </c>
      <c r="AL5" s="454" t="s">
        <v>403</v>
      </c>
      <c r="AM5" s="454" t="e">
        <f>AM3/AP3</f>
        <v>#DIV/0!</v>
      </c>
      <c r="AN5" s="454" t="e">
        <f>AN3/AP3</f>
        <v>#DIV/0!</v>
      </c>
      <c r="AO5" s="454" t="e">
        <f>AO3/AP3</f>
        <v>#DIV/0!</v>
      </c>
      <c r="AP5" s="454" t="e">
        <f>SUM(AM5:AO5)</f>
        <v>#DIV/0!</v>
      </c>
    </row>
    <row r="6" spans="2:47" ht="12" customHeight="1">
      <c r="B6" s="558"/>
      <c r="C6" s="461"/>
      <c r="D6" s="451" t="str">
        <f>IF(T5=999,"THIS SUB PANEL IS NOT BEING USED",IF(T5=888,"ERROR IN MAIN PANEL",IF(T5=777,"ERROR IN HOUSE PANEL",IF(T5&gt;0,"LOAD CALCULATIONS WILL NOT DISPLAY UNTIL ALL ERRORS ARE CORRECTED"," "))))</f>
        <v>THIS SUB PANEL IS NOT BEING USED</v>
      </c>
      <c r="E6" s="462"/>
      <c r="F6" s="456"/>
      <c r="G6" s="463"/>
      <c r="H6" s="464"/>
      <c r="I6" s="456"/>
      <c r="J6" s="455"/>
      <c r="K6" s="455"/>
      <c r="L6" s="456"/>
      <c r="M6" s="245"/>
      <c r="N6" s="456"/>
      <c r="O6" s="456"/>
      <c r="P6" s="245"/>
      <c r="Q6" s="579"/>
      <c r="U6" s="454" t="s">
        <v>21</v>
      </c>
      <c r="V6" s="456">
        <f>'S-Input'!H8</f>
        <v>1</v>
      </c>
      <c r="W6" s="456"/>
      <c r="X6" s="456"/>
      <c r="AA6" s="454" t="e">
        <f>ROUND((AA4*AA5),0)</f>
        <v>#DIV/0!</v>
      </c>
      <c r="AB6" s="454" t="e">
        <f>ROUND((AB4*AB5),0)</f>
        <v>#DIV/0!</v>
      </c>
      <c r="AD6" s="454" t="e">
        <f>SUM(AA6:AC6)</f>
        <v>#DIV/0!</v>
      </c>
      <c r="AG6" s="454" t="e">
        <f>ROUND((AG4*AG5),0)</f>
        <v>#DIV/0!</v>
      </c>
      <c r="AI6" s="454" t="e">
        <f>ROUND((AI4*AI5),0)</f>
        <v>#DIV/0!</v>
      </c>
      <c r="AJ6" s="454" t="e">
        <f>SUM(AG6:AI6)</f>
        <v>#DIV/0!</v>
      </c>
      <c r="AM6" s="454" t="e">
        <f>ROUND((AM4*AM5),0)</f>
        <v>#DIV/0!</v>
      </c>
      <c r="AN6" s="454" t="e">
        <f>ROUND((AN4*AN5),0)</f>
        <v>#DIV/0!</v>
      </c>
      <c r="AO6" s="454" t="e">
        <f>ROUND((AO4*AO5),0)</f>
        <v>#DIV/0!</v>
      </c>
      <c r="AP6" s="454" t="e">
        <f>SUM(AM6:AO6)</f>
        <v>#DIV/0!</v>
      </c>
    </row>
    <row r="7" spans="2:47" ht="12" customHeight="1">
      <c r="B7" s="558"/>
      <c r="C7" s="461" t="s">
        <v>249</v>
      </c>
      <c r="D7" s="451"/>
      <c r="E7" s="462"/>
      <c r="F7" s="456"/>
      <c r="G7" s="463"/>
      <c r="H7" s="464"/>
      <c r="I7" s="456"/>
      <c r="J7" s="455"/>
      <c r="K7" s="455"/>
      <c r="L7" s="456"/>
      <c r="M7" s="245"/>
      <c r="N7" s="456"/>
      <c r="O7" s="456"/>
      <c r="P7" s="245"/>
      <c r="Q7" s="579"/>
      <c r="U7" s="454" t="s">
        <v>399</v>
      </c>
      <c r="V7" s="456">
        <f>'S-Input'!H6</f>
        <v>240</v>
      </c>
      <c r="W7" s="456"/>
      <c r="X7" s="456"/>
      <c r="Z7" s="465" t="s">
        <v>405</v>
      </c>
      <c r="AA7" s="466">
        <f>IF(AD3&gt;10000,AA6,AA3)</f>
        <v>0</v>
      </c>
      <c r="AB7" s="467">
        <f>IF(AD3&gt;10000,AB6,AB3)</f>
        <v>0</v>
      </c>
      <c r="AF7" s="465" t="s">
        <v>405</v>
      </c>
      <c r="AG7" s="466">
        <f>IF(AJ3&gt;10000,AG6,AG3)</f>
        <v>0</v>
      </c>
      <c r="AH7" s="466"/>
      <c r="AI7" s="467">
        <f>IF(AJ3&gt;10000,AI6,AI3)</f>
        <v>0</v>
      </c>
      <c r="AJ7" s="454">
        <f>SUM(AG7:AI7)</f>
        <v>0</v>
      </c>
      <c r="AL7" s="465" t="s">
        <v>405</v>
      </c>
      <c r="AM7" s="466">
        <f>IF(AP3&gt;10000,AM6,AM3)</f>
        <v>0</v>
      </c>
      <c r="AN7" s="466">
        <f>IF(AP3&gt;10000,AN6,AN3)</f>
        <v>0</v>
      </c>
      <c r="AO7" s="467">
        <f>IF(AP3&gt;10000,AO6,AO3)</f>
        <v>0</v>
      </c>
      <c r="AP7" s="454">
        <f>SUM(AM7:AO7)</f>
        <v>0</v>
      </c>
    </row>
    <row r="8" spans="2:47" ht="12" customHeight="1">
      <c r="B8" s="558"/>
      <c r="C8" s="461"/>
      <c r="D8" s="451" t="s">
        <v>239</v>
      </c>
      <c r="E8" s="462"/>
      <c r="F8" s="456">
        <f>IF(V6=1,'S-Input'!AA76,IF(V6="3D",'S-Input'!AA76,IF(V6="3Y",'S-Input'!AA76,0)))</f>
        <v>0</v>
      </c>
      <c r="G8" s="455" t="s">
        <v>90</v>
      </c>
      <c r="H8" s="464"/>
      <c r="I8" s="456">
        <f>'S-Input'!AC76</f>
        <v>0</v>
      </c>
      <c r="J8" s="455" t="s">
        <v>90</v>
      </c>
      <c r="K8" s="455"/>
      <c r="L8" s="456" t="str">
        <f>IF(V6="3Y",'S-Input'!AE76," ")</f>
        <v xml:space="preserve"> </v>
      </c>
      <c r="M8" s="245" t="str">
        <f>IF(V6="3Y","VA"," ")</f>
        <v xml:space="preserve"> </v>
      </c>
      <c r="N8" s="456"/>
      <c r="O8" s="456"/>
      <c r="P8" s="245"/>
      <c r="Q8" s="579"/>
      <c r="U8" s="454" t="s">
        <v>400</v>
      </c>
      <c r="V8" s="456">
        <f>'S-Input'!H7</f>
        <v>120</v>
      </c>
      <c r="W8" s="456"/>
      <c r="X8" s="456"/>
      <c r="Z8" s="465" t="str">
        <f>IF(AD3&gt;10000,"REMAINDER @ 50%"," ")</f>
        <v xml:space="preserve"> </v>
      </c>
      <c r="AA8" s="466" t="str">
        <f>IF(AD3&gt;10000,ROUND((AA3-AA6)*0.5,0)," ")</f>
        <v xml:space="preserve"> </v>
      </c>
      <c r="AB8" s="467" t="str">
        <f>IF(AD3&gt;10000,ROUND((AB3-AB6)*0.5,0)," ")</f>
        <v xml:space="preserve"> </v>
      </c>
      <c r="AD8" s="454">
        <f>SUM(AA8:AC8)</f>
        <v>0</v>
      </c>
      <c r="AF8" s="465" t="str">
        <f>IF(AJ3&gt;10000,"REMAINDER @ 50%"," ")</f>
        <v xml:space="preserve"> </v>
      </c>
      <c r="AG8" s="466" t="str">
        <f>IF(AJ3&gt;10000,ROUND((AG3-AG6)*0.5,0)," ")</f>
        <v xml:space="preserve"> </v>
      </c>
      <c r="AH8" s="466"/>
      <c r="AI8" s="467" t="str">
        <f>IF(AJ3&gt;10000,ROUND((AI3-AI6)*0.5,0)," ")</f>
        <v xml:space="preserve"> </v>
      </c>
      <c r="AJ8" s="454">
        <f>SUM(AG8:AI8)</f>
        <v>0</v>
      </c>
      <c r="AL8" s="465" t="str">
        <f>IF(AP3&gt;10000,"REMAINDER @ 50%"," ")</f>
        <v xml:space="preserve"> </v>
      </c>
      <c r="AM8" s="466" t="str">
        <f>IF(AP3&gt;10000,ROUND((AM3-AM6)*0.5,0)," ")</f>
        <v xml:space="preserve"> </v>
      </c>
      <c r="AN8" s="466" t="str">
        <f>IF(AP3&gt;10000,ROUND((AN3-AN6)*0.5,0)," ")</f>
        <v xml:space="preserve"> </v>
      </c>
      <c r="AO8" s="467" t="str">
        <f>IF(AP3&gt;10000,ROUND((AO3-AO6)*0.5,0)," ")</f>
        <v xml:space="preserve"> </v>
      </c>
      <c r="AP8" s="454">
        <f>SUM(AM8:AO8)</f>
        <v>0</v>
      </c>
    </row>
    <row r="9" spans="2:47" ht="12" customHeight="1">
      <c r="B9" s="558"/>
      <c r="C9" s="461"/>
      <c r="D9" s="451" t="s">
        <v>397</v>
      </c>
      <c r="E9" s="462"/>
      <c r="F9" s="456"/>
      <c r="G9" s="463"/>
      <c r="H9" s="464"/>
      <c r="I9" s="456"/>
      <c r="J9" s="455"/>
      <c r="K9" s="455"/>
      <c r="L9" s="456"/>
      <c r="M9" s="245"/>
      <c r="N9" s="456"/>
      <c r="O9" s="456"/>
      <c r="P9" s="245"/>
      <c r="Q9" s="579"/>
      <c r="U9" s="454" t="s">
        <v>409</v>
      </c>
      <c r="V9" s="455">
        <f>'S-Input'!H21</f>
        <v>0</v>
      </c>
      <c r="W9" s="455"/>
      <c r="X9" s="455"/>
    </row>
    <row r="10" spans="2:47" ht="12" customHeight="1">
      <c r="B10" s="558"/>
      <c r="C10" s="461"/>
      <c r="D10" s="451"/>
      <c r="E10" s="462" t="s">
        <v>404</v>
      </c>
      <c r="F10" s="456">
        <f>IF(AND(V6=1,V15="3D"),AG7,IF($V$6=1,AA7,IF($V$6="3D",AG7,IF($V$6="3Y",AM7,0))))</f>
        <v>0</v>
      </c>
      <c r="G10" s="455" t="s">
        <v>90</v>
      </c>
      <c r="H10" s="464"/>
      <c r="I10" s="456">
        <f>IF($V$6=1,AB7,IF($V$6="3Y",AN7,0))</f>
        <v>0</v>
      </c>
      <c r="J10" s="455" t="s">
        <v>90</v>
      </c>
      <c r="K10" s="455"/>
      <c r="L10" s="456" t="str">
        <f>IF($V$6=1," ",IF($V$6="3Y",AO7,0))</f>
        <v xml:space="preserve"> </v>
      </c>
      <c r="M10" s="245" t="str">
        <f>IF(V6="3Y","VA"," ")</f>
        <v xml:space="preserve"> </v>
      </c>
      <c r="N10" s="456"/>
      <c r="O10" s="456"/>
      <c r="P10" s="245"/>
      <c r="Q10" s="579"/>
      <c r="U10" s="454" t="s">
        <v>413</v>
      </c>
      <c r="V10" s="453">
        <f>'S-Input'!H11</f>
        <v>0</v>
      </c>
      <c r="W10" s="453"/>
      <c r="X10" s="453"/>
      <c r="AF10" s="454" t="s">
        <v>55</v>
      </c>
      <c r="AG10" s="454" t="s">
        <v>56</v>
      </c>
      <c r="AH10" s="454" t="s">
        <v>57</v>
      </c>
    </row>
    <row r="11" spans="2:47" ht="12" customHeight="1">
      <c r="B11" s="558"/>
      <c r="C11" s="461"/>
      <c r="D11" s="451"/>
      <c r="E11" s="462" t="str">
        <f>IF($V$6=1,Z8,IF($V$6="3D",AF8,IF($V$6="3Y",AL8,0)))</f>
        <v xml:space="preserve"> </v>
      </c>
      <c r="F11" s="456" t="str">
        <f>IF(AND(V6=1,V15="3D"),AG8,IF($V$6=1,AA8,IF($V$6="3D",AG8,IF($V$6="3Y",AM8,0))))</f>
        <v xml:space="preserve"> </v>
      </c>
      <c r="G11" s="463" t="str">
        <f>IF(F11=" "," ","VA")</f>
        <v xml:space="preserve"> </v>
      </c>
      <c r="H11" s="464"/>
      <c r="I11" s="456" t="str">
        <f>IF(AND(V6=1,V15=1,V2="3D")," ",IF(AND(V6=1,V15="3D")," ",IF($V$6=1,AB8,IF($V$6="3D"," ",IF($V$6="3Y",AN8,0)))))</f>
        <v xml:space="preserve"> </v>
      </c>
      <c r="J11" s="463" t="str">
        <f>IF(I11=" "," ",IF(AND(V6=1,V15=1,V2="3D")," ",IF(AND(V6=1,V15="3D")," ","VA")))</f>
        <v xml:space="preserve"> </v>
      </c>
      <c r="K11" s="455"/>
      <c r="L11" s="456" t="str">
        <f>IF(AND(V6=1,V15=1,V2="3D"),AI8,IF(AND(V6=1,V15="3D"),AI8,IF($V$6="3D",AI8,IF($V$6="3Y",AO8," "))))</f>
        <v xml:space="preserve"> </v>
      </c>
      <c r="M11" s="463" t="str">
        <f>IF(L11=" "," ",IF(AND(V6=1,V15=1,V2="3D"),"VA",IF(AND(V6=1,V15="3D"),"VA",IF(V6=1," ","VA"))))</f>
        <v xml:space="preserve"> </v>
      </c>
      <c r="N11" s="456"/>
      <c r="O11" s="456"/>
      <c r="P11" s="245"/>
      <c r="Q11" s="579"/>
      <c r="U11" s="454" t="s">
        <v>571</v>
      </c>
      <c r="V11" s="453">
        <f>'S-Input'!H10</f>
        <v>0</v>
      </c>
      <c r="W11" s="453"/>
      <c r="X11" s="453"/>
      <c r="Z11" s="454" t="s">
        <v>243</v>
      </c>
      <c r="AA11" s="454">
        <v>1</v>
      </c>
      <c r="AB11" s="454">
        <v>1</v>
      </c>
      <c r="AF11" s="454">
        <f>IF(AND(V6=1,V15="3D"),AG3,IF($V$6=1,AA3,IF($V$6="3D",AG3,IF($V$6="3Y",AM3,0))))</f>
        <v>0</v>
      </c>
      <c r="AG11" s="454">
        <f>IF(AND(V6=1,V15=1,V2="3D")," ",IF(AND(V6=1,V15="3D")," ",IF($V$6=1,AB7,IF($V$6="3D"," ",IF($V$6="3Y",AN3,0)))))</f>
        <v>0</v>
      </c>
      <c r="AH11" s="454" t="str">
        <f>IF(AND(V6=1,V15="3D"),AI3,IF(AND(V6=1,V15=1,V2="3D"),AI3,IF($V$6=1," ",IF($V$6="3D",AI3,IF($V$6="3Y",AO3,0)))))</f>
        <v xml:space="preserve"> </v>
      </c>
      <c r="AL11" s="468" t="s">
        <v>149</v>
      </c>
      <c r="AM11" s="469"/>
      <c r="AN11" s="469"/>
      <c r="AO11" s="470"/>
    </row>
    <row r="12" spans="2:47" ht="12" customHeight="1">
      <c r="B12" s="558"/>
      <c r="C12" s="461"/>
      <c r="D12" s="451" t="s">
        <v>240</v>
      </c>
      <c r="E12" s="462"/>
      <c r="F12" s="456">
        <f>'S-Input'!AM76</f>
        <v>0</v>
      </c>
      <c r="G12" s="463" t="s">
        <v>90</v>
      </c>
      <c r="H12" s="464"/>
      <c r="I12" s="456">
        <f>'S-Input'!AO76</f>
        <v>0</v>
      </c>
      <c r="J12" s="455" t="s">
        <v>90</v>
      </c>
      <c r="K12" s="455"/>
      <c r="L12" s="456" t="str">
        <f>IF(V6=1," ",'S-Input'!AQ76)</f>
        <v xml:space="preserve"> </v>
      </c>
      <c r="M12" s="245" t="str">
        <f>IF(V6="3Y","VA"," ")</f>
        <v xml:space="preserve"> </v>
      </c>
      <c r="N12" s="456"/>
      <c r="O12" s="456"/>
      <c r="P12" s="245"/>
      <c r="Q12" s="579"/>
      <c r="U12" s="454" t="s">
        <v>757</v>
      </c>
      <c r="V12" s="455">
        <f>'S-Input'!H22</f>
        <v>0</v>
      </c>
      <c r="Z12" s="454" t="s">
        <v>388</v>
      </c>
      <c r="AA12" s="454">
        <v>2</v>
      </c>
      <c r="AB12" s="454">
        <v>1</v>
      </c>
      <c r="AL12" s="471" t="s">
        <v>239</v>
      </c>
      <c r="AM12" s="455">
        <f>'S-Input'!AA76</f>
        <v>0</v>
      </c>
      <c r="AN12" s="455">
        <f>'S-Input'!AC76</f>
        <v>0</v>
      </c>
      <c r="AO12" s="472">
        <f>'S-Input'!AE76</f>
        <v>0</v>
      </c>
    </row>
    <row r="13" spans="2:47" ht="12" customHeight="1">
      <c r="B13" s="558"/>
      <c r="C13" s="461"/>
      <c r="D13" s="451"/>
      <c r="E13" s="462" t="s">
        <v>407</v>
      </c>
      <c r="F13" s="456">
        <f>ROUND(F12*0.25,0)</f>
        <v>0</v>
      </c>
      <c r="G13" s="463" t="s">
        <v>90</v>
      </c>
      <c r="H13" s="464"/>
      <c r="I13" s="456">
        <f>ROUND(I12*0.25,0)</f>
        <v>0</v>
      </c>
      <c r="J13" s="463" t="s">
        <v>90</v>
      </c>
      <c r="K13" s="455"/>
      <c r="L13" s="456" t="str">
        <f>IF(V6=1," ",ROUND(L12*0.25,0))</f>
        <v xml:space="preserve"> </v>
      </c>
      <c r="M13" s="245" t="str">
        <f>IF(V6="3Y","VA"," ")</f>
        <v xml:space="preserve"> </v>
      </c>
      <c r="N13" s="456"/>
      <c r="O13" s="456"/>
      <c r="P13" s="245"/>
      <c r="Q13" s="579"/>
      <c r="U13" s="454" t="s">
        <v>758</v>
      </c>
      <c r="V13" s="455">
        <f>'S-Input'!H23</f>
        <v>0</v>
      </c>
      <c r="AA13" s="454">
        <v>3</v>
      </c>
      <c r="AB13" s="454">
        <v>0.9</v>
      </c>
      <c r="AL13" s="471" t="s">
        <v>58</v>
      </c>
      <c r="AM13" s="454">
        <f>IF($V$6=1,AA3,IF($V$6="3D",AG3,IF($V$6="3Y",AM3,0)))</f>
        <v>0</v>
      </c>
      <c r="AN13" s="454">
        <f>IF($V$6=1,AB3,IF($V$6="3D",0,IF($V$6="3Y",AN3,0)))</f>
        <v>0</v>
      </c>
      <c r="AO13" s="473">
        <f>IF($V$6=1,0,IF($V$6="3D",AI3,IF($V$6="3Y",AO3,0)))</f>
        <v>0</v>
      </c>
    </row>
    <row r="14" spans="2:47" ht="12" customHeight="1">
      <c r="B14" s="558"/>
      <c r="C14" s="461"/>
      <c r="D14" s="451" t="s">
        <v>241</v>
      </c>
      <c r="E14" s="462"/>
      <c r="F14" s="456">
        <f>'S-Input'!AU76</f>
        <v>0</v>
      </c>
      <c r="G14" s="463" t="s">
        <v>90</v>
      </c>
      <c r="H14" s="464"/>
      <c r="I14" s="456">
        <f>'S-Input'!AW76</f>
        <v>0</v>
      </c>
      <c r="J14" s="463" t="s">
        <v>90</v>
      </c>
      <c r="K14" s="455"/>
      <c r="L14" s="456" t="str">
        <f>IF(V6=1," ",'S-Input'!AY76)</f>
        <v xml:space="preserve"> </v>
      </c>
      <c r="M14" s="245" t="str">
        <f>IF(V6="3Y","VA"," ")</f>
        <v xml:space="preserve"> </v>
      </c>
      <c r="N14" s="456"/>
      <c r="O14" s="456"/>
      <c r="P14" s="245"/>
      <c r="Q14" s="579"/>
      <c r="U14" s="454" t="s">
        <v>760</v>
      </c>
      <c r="V14" s="454">
        <f>'S-Input'!X15</f>
        <v>0</v>
      </c>
      <c r="AA14" s="454">
        <v>4</v>
      </c>
      <c r="AB14" s="454">
        <v>0.8</v>
      </c>
      <c r="AL14" s="471" t="s">
        <v>78</v>
      </c>
      <c r="AM14" s="455">
        <f>'S-Input'!AM76</f>
        <v>0</v>
      </c>
      <c r="AN14" s="455">
        <f>'S-Input'!AO76</f>
        <v>0</v>
      </c>
      <c r="AO14" s="472">
        <f>'S-Input'!AQ76</f>
        <v>0</v>
      </c>
    </row>
    <row r="15" spans="2:47" ht="12" customHeight="1">
      <c r="B15" s="558"/>
      <c r="C15" s="461"/>
      <c r="D15" s="451"/>
      <c r="E15" s="462" t="s">
        <v>408</v>
      </c>
      <c r="F15" s="456">
        <f>ROUND('S-Input'!AU77*0.25,0)</f>
        <v>0</v>
      </c>
      <c r="G15" s="463" t="s">
        <v>90</v>
      </c>
      <c r="H15" s="464"/>
      <c r="I15" s="456">
        <f>ROUND('S-Input'!AW77*0.25,0)</f>
        <v>0</v>
      </c>
      <c r="J15" s="463" t="s">
        <v>90</v>
      </c>
      <c r="K15" s="455"/>
      <c r="L15" s="456" t="str">
        <f>IF(V6=1," ",ROUND('S-Input'!AY77*0.25,0))</f>
        <v xml:space="preserve"> </v>
      </c>
      <c r="M15" s="245" t="str">
        <f>IF(V6="3Y","VA"," ")</f>
        <v xml:space="preserve"> </v>
      </c>
      <c r="N15" s="456"/>
      <c r="O15" s="456"/>
      <c r="P15" s="245"/>
      <c r="Q15" s="579"/>
      <c r="U15" s="454" t="s">
        <v>833</v>
      </c>
      <c r="V15" s="456" t="str">
        <f>'S-Input'!J8</f>
        <v>NONE</v>
      </c>
      <c r="AA15" s="454">
        <v>5</v>
      </c>
      <c r="AB15" s="454">
        <v>0.7</v>
      </c>
      <c r="AL15" s="471" t="s">
        <v>242</v>
      </c>
      <c r="AM15" s="455">
        <f>'S-Input'!AU76</f>
        <v>0</v>
      </c>
      <c r="AN15" s="455">
        <f>'S-Input'!AW76</f>
        <v>0</v>
      </c>
      <c r="AO15" s="472">
        <f>'S-Input'!AY76</f>
        <v>0</v>
      </c>
    </row>
    <row r="16" spans="2:47" ht="12" customHeight="1">
      <c r="B16" s="558"/>
      <c r="C16" s="461"/>
      <c r="D16" s="461" t="s">
        <v>244</v>
      </c>
      <c r="E16" s="462"/>
      <c r="F16" s="456"/>
      <c r="G16" s="463"/>
      <c r="H16" s="464"/>
      <c r="I16" s="456"/>
      <c r="J16" s="463"/>
      <c r="K16" s="455"/>
      <c r="L16" s="456"/>
      <c r="M16" s="245"/>
      <c r="N16" s="456"/>
      <c r="O16" s="456"/>
      <c r="P16" s="245"/>
      <c r="Q16" s="579"/>
      <c r="U16" s="454" t="s">
        <v>845</v>
      </c>
      <c r="V16" s="591" t="s">
        <v>983</v>
      </c>
      <c r="AA16" s="454">
        <v>6</v>
      </c>
      <c r="AB16" s="454">
        <v>0.65</v>
      </c>
      <c r="AL16" s="471" t="s">
        <v>409</v>
      </c>
      <c r="AM16" s="454">
        <f>AA19</f>
        <v>0</v>
      </c>
      <c r="AN16" s="454">
        <f>AA20</f>
        <v>0</v>
      </c>
      <c r="AO16" s="473">
        <f>AA21</f>
        <v>0</v>
      </c>
    </row>
    <row r="17" spans="2:41" ht="12" customHeight="1">
      <c r="B17" s="558"/>
      <c r="C17" s="461"/>
      <c r="D17" s="461"/>
      <c r="E17" s="462" t="str">
        <f>AF19</f>
        <v xml:space="preserve">L1 ( 0 X 1 ) = </v>
      </c>
      <c r="F17" s="456">
        <f>ROUND(AA19*Z17,0)</f>
        <v>0</v>
      </c>
      <c r="G17" s="463" t="s">
        <v>90</v>
      </c>
      <c r="H17" s="464"/>
      <c r="I17" s="456"/>
      <c r="J17" s="463"/>
      <c r="K17" s="455"/>
      <c r="L17" s="456"/>
      <c r="M17" s="245"/>
      <c r="N17" s="456"/>
      <c r="O17" s="456"/>
      <c r="P17" s="245"/>
      <c r="Q17" s="579"/>
      <c r="U17" s="454" t="s">
        <v>847</v>
      </c>
      <c r="V17" s="455" t="s">
        <v>983</v>
      </c>
      <c r="Z17" s="454">
        <f>IF(V9=0,1,VLOOKUP(V9,AA11:AB16,2))</f>
        <v>1</v>
      </c>
      <c r="AL17" s="471"/>
      <c r="AO17" s="473"/>
    </row>
    <row r="18" spans="2:41" ht="12" customHeight="1">
      <c r="B18" s="558"/>
      <c r="C18" s="461"/>
      <c r="D18" s="451"/>
      <c r="E18" s="462" t="str">
        <f>IF(AND(V6=1,V15="3D")," ",AF20)</f>
        <v xml:space="preserve">L2 ( 0 X 1 ) = </v>
      </c>
      <c r="F18" s="456"/>
      <c r="G18" s="463"/>
      <c r="H18" s="464"/>
      <c r="I18" s="456">
        <f>ROUND(AA20*Z17,0)</f>
        <v>0</v>
      </c>
      <c r="J18" s="455" t="s">
        <v>90</v>
      </c>
      <c r="K18" s="455"/>
      <c r="L18" s="456"/>
      <c r="M18" s="245"/>
      <c r="N18" s="456"/>
      <c r="O18" s="456"/>
      <c r="P18" s="245"/>
      <c r="Q18" s="579"/>
      <c r="U18" s="454" t="s">
        <v>864</v>
      </c>
      <c r="V18" s="454" t="str">
        <f>Input!O15</f>
        <v>NONE</v>
      </c>
      <c r="AL18" s="474" t="s">
        <v>395</v>
      </c>
      <c r="AM18" s="475">
        <f>SUM(AM12:AM16)</f>
        <v>0</v>
      </c>
      <c r="AN18" s="475">
        <f>SUM(AN12:AN16)</f>
        <v>0</v>
      </c>
      <c r="AO18" s="476">
        <f>SUM(AO12:AO16)</f>
        <v>0</v>
      </c>
    </row>
    <row r="19" spans="2:41" ht="12" customHeight="1">
      <c r="B19" s="558"/>
      <c r="C19" s="461"/>
      <c r="D19" s="451"/>
      <c r="E19" s="462" t="str">
        <f>IF(AND(V6=1,V15="3D"),AF21,IF(V6=1," ",AF21))</f>
        <v xml:space="preserve"> </v>
      </c>
      <c r="F19" s="456"/>
      <c r="G19" s="463"/>
      <c r="H19" s="464"/>
      <c r="I19" s="456"/>
      <c r="J19" s="463"/>
      <c r="K19" s="455"/>
      <c r="L19" s="605" t="str">
        <f>IF(V6=1," ",ROUND(AA21*Z17,0))</f>
        <v xml:space="preserve"> </v>
      </c>
      <c r="M19" s="584" t="str">
        <f>IF(V6="3Y","VA"," ")</f>
        <v xml:space="preserve"> </v>
      </c>
      <c r="N19" s="456"/>
      <c r="O19" s="456"/>
      <c r="P19" s="245"/>
      <c r="Q19" s="579"/>
      <c r="Z19" s="454" t="s">
        <v>410</v>
      </c>
      <c r="AA19" s="454">
        <f>'S-Input'!BA76</f>
        <v>0</v>
      </c>
      <c r="AB19" s="454" t="str">
        <f>TEXT(AA19, "#,##0")</f>
        <v>0</v>
      </c>
      <c r="AC19" s="454" t="s">
        <v>257</v>
      </c>
      <c r="AD19" s="454">
        <f>IF(V9=0,1,Z17)</f>
        <v>1</v>
      </c>
      <c r="AE19" s="454" t="s">
        <v>263</v>
      </c>
      <c r="AF19" s="454" t="str">
        <f>CONCATENATE(Z19,AB19,AC19,AD19,AE19)</f>
        <v xml:space="preserve">L1 ( 0 X 1 ) = </v>
      </c>
    </row>
    <row r="20" spans="2:41" ht="12" customHeight="1">
      <c r="B20" s="558"/>
      <c r="C20" s="461" t="str">
        <f>IF(V6=1," ","TOTAL BALANCED LOAD (3-PHASE)")</f>
        <v xml:space="preserve"> </v>
      </c>
      <c r="D20" s="451"/>
      <c r="E20" s="462"/>
      <c r="F20" s="477">
        <f>IF(V6=1,0,MIN(V20:V22))</f>
        <v>0</v>
      </c>
      <c r="G20" s="478" t="s">
        <v>90</v>
      </c>
      <c r="H20" s="464"/>
      <c r="I20" s="477">
        <f>IF(V6=1,0,MIN(V20:V22))</f>
        <v>0</v>
      </c>
      <c r="J20" s="478" t="s">
        <v>90</v>
      </c>
      <c r="K20" s="455"/>
      <c r="L20" s="456">
        <f>IF(V6=1,0,MIN(V20:V22))</f>
        <v>0</v>
      </c>
      <c r="M20" s="463" t="str">
        <f>IF(AND(V6=1,V15=1,V2="3D"),"VA",IF(AND(V6=1,V15="3D"),"VA",IF(V6=1," ","VA")))</f>
        <v xml:space="preserve"> </v>
      </c>
      <c r="N20" s="456"/>
      <c r="O20" s="456"/>
      <c r="P20" s="245"/>
      <c r="Q20" s="579"/>
      <c r="S20" s="455">
        <f>L20</f>
        <v>0</v>
      </c>
      <c r="U20" s="454" t="s">
        <v>55</v>
      </c>
      <c r="V20" s="455">
        <f>ROUND(SUM(F8:F19),0)</f>
        <v>0</v>
      </c>
      <c r="W20" s="455" t="str">
        <f>IF(V20-$F$20=0," ",V20-$F$20)</f>
        <v xml:space="preserve"> </v>
      </c>
      <c r="X20" s="455" t="str">
        <f>IF(W20=" "," ",W20-W$23)</f>
        <v xml:space="preserve"> </v>
      </c>
      <c r="Y20" s="454" t="str">
        <f>IF(W$24=1,W20,X20)</f>
        <v xml:space="preserve"> </v>
      </c>
      <c r="Z20" s="454" t="s">
        <v>411</v>
      </c>
      <c r="AA20" s="454">
        <f>IF(AND(V6=1,V15=1,V2="3D"),0,IF(AND(V6=1,V15="3D",V2="3D"),0,'S-Input'!BC76))</f>
        <v>0</v>
      </c>
      <c r="AB20" s="454" t="str">
        <f>TEXT(AA20, "#,##0")</f>
        <v>0</v>
      </c>
      <c r="AC20" s="454" t="s">
        <v>257</v>
      </c>
      <c r="AD20" s="454">
        <f>IF(V9=0,1,Z17)</f>
        <v>1</v>
      </c>
      <c r="AE20" s="454" t="s">
        <v>263</v>
      </c>
      <c r="AF20" s="454" t="str">
        <f>CONCATENATE(Z20,AB20,AC20,AD20,AE20)</f>
        <v xml:space="preserve">L2 ( 0 X 1 ) = </v>
      </c>
    </row>
    <row r="21" spans="2:41" ht="12" customHeight="1">
      <c r="B21" s="558"/>
      <c r="C21" s="461" t="s">
        <v>592</v>
      </c>
      <c r="D21" s="451"/>
      <c r="E21" s="462"/>
      <c r="F21" s="456">
        <f>IF(W24=1,0,IF(W20=" ",0,W23))</f>
        <v>0</v>
      </c>
      <c r="G21" s="463" t="s">
        <v>90</v>
      </c>
      <c r="H21" s="464"/>
      <c r="I21" s="456">
        <f>IF(W24=1,0,IF(W21=" ",0,W23))</f>
        <v>0</v>
      </c>
      <c r="J21" s="463" t="s">
        <v>90</v>
      </c>
      <c r="K21" s="455"/>
      <c r="L21" s="456">
        <f>IF(V6=1,0,IF(W24=1,0,IF(W22=" ",0,W23)))</f>
        <v>0</v>
      </c>
      <c r="M21" s="463" t="s">
        <v>90</v>
      </c>
      <c r="N21" s="456"/>
      <c r="O21" s="456"/>
      <c r="P21" s="245"/>
      <c r="Q21" s="579"/>
      <c r="U21" s="454" t="s">
        <v>56</v>
      </c>
      <c r="V21" s="455">
        <f>ROUND(SUM(I8:I19),0)</f>
        <v>0</v>
      </c>
      <c r="W21" s="455" t="str">
        <f>IF(V21-$F$20=0," ",V21-$F$20)</f>
        <v xml:space="preserve"> </v>
      </c>
      <c r="X21" s="455" t="str">
        <f>IF(W21=" "," ",W21-W$23)</f>
        <v xml:space="preserve"> </v>
      </c>
      <c r="Y21" s="454" t="str">
        <f>IF(W$24=1,W21,X21)</f>
        <v xml:space="preserve"> </v>
      </c>
      <c r="Z21" s="454" t="s">
        <v>412</v>
      </c>
      <c r="AA21" s="454">
        <f>IF(AND(V6=1,V15=1,V2="3D"),'S-Input'!BC76,IF(AND(V6=1,V15="3D",V2="3D"),'S-Input'!BC76,'S-Input'!BE76))</f>
        <v>0</v>
      </c>
      <c r="AB21" s="454" t="str">
        <f>TEXT(AA21, "#,##0")</f>
        <v>0</v>
      </c>
      <c r="AC21" s="454" t="s">
        <v>257</v>
      </c>
      <c r="AD21" s="454">
        <f>IF(V9=0,1,Z17)</f>
        <v>1</v>
      </c>
      <c r="AE21" s="454" t="s">
        <v>263</v>
      </c>
      <c r="AF21" s="454" t="str">
        <f>CONCATENATE(Z21,AB21,AC21,AD21,AE21)</f>
        <v xml:space="preserve">L3 ( 0 X 1 ) = </v>
      </c>
    </row>
    <row r="22" spans="2:41" ht="12" customHeight="1">
      <c r="B22" s="558"/>
      <c r="C22" s="461" t="s">
        <v>593</v>
      </c>
      <c r="D22" s="451"/>
      <c r="E22" s="462"/>
      <c r="F22" s="456">
        <f>IF(Y20=" ",0,Y20)</f>
        <v>0</v>
      </c>
      <c r="G22" s="463" t="s">
        <v>90</v>
      </c>
      <c r="H22" s="464"/>
      <c r="I22" s="456">
        <f>IF(Y21=" ",0,Y21)</f>
        <v>0</v>
      </c>
      <c r="J22" s="463" t="s">
        <v>90</v>
      </c>
      <c r="K22" s="455"/>
      <c r="L22" s="456">
        <f>IF(Y22=" ",0,Y22)</f>
        <v>0</v>
      </c>
      <c r="M22" s="463" t="s">
        <v>90</v>
      </c>
      <c r="N22" s="456"/>
      <c r="O22" s="477" t="str">
        <f>IF(V10="AUTO",O5," ")</f>
        <v xml:space="preserve"> </v>
      </c>
      <c r="P22" s="284" t="str">
        <f>IF(V10="AUTO","VA"," ")</f>
        <v xml:space="preserve"> </v>
      </c>
      <c r="Q22" s="579"/>
      <c r="U22" s="454" t="s">
        <v>57</v>
      </c>
      <c r="V22" s="455">
        <f>ROUND(SUM(L8:L19),0)</f>
        <v>0</v>
      </c>
      <c r="W22" s="455" t="str">
        <f>IF(V22-$F$20=0," ",V22-$F$20)</f>
        <v xml:space="preserve"> </v>
      </c>
      <c r="X22" s="455" t="str">
        <f>IF(W22=" "," ",W22-W$23)</f>
        <v xml:space="preserve"> </v>
      </c>
      <c r="Y22" s="454" t="str">
        <f>IF(W$24=1,W22,X22)</f>
        <v xml:space="preserve"> </v>
      </c>
    </row>
    <row r="23" spans="2:41" ht="12" customHeight="1">
      <c r="B23" s="558"/>
      <c r="C23" s="461"/>
      <c r="D23" s="451"/>
      <c r="E23" s="462"/>
      <c r="F23" s="456"/>
      <c r="G23" s="463"/>
      <c r="H23" s="464"/>
      <c r="I23" s="456"/>
      <c r="J23" s="463"/>
      <c r="K23" s="455"/>
      <c r="L23" s="456"/>
      <c r="M23" s="463"/>
      <c r="N23" s="456"/>
      <c r="O23" s="456"/>
      <c r="P23" s="245"/>
      <c r="Q23" s="579"/>
      <c r="U23" s="455">
        <f>SUM(F20:L22)</f>
        <v>0</v>
      </c>
      <c r="V23" s="454">
        <f>SUM(V20:V22)</f>
        <v>0</v>
      </c>
      <c r="W23" s="455">
        <f>MIN(W20:W22)</f>
        <v>0</v>
      </c>
    </row>
    <row r="24" spans="2:41" ht="12" customHeight="1">
      <c r="B24" s="558"/>
      <c r="C24" s="461" t="str">
        <f>IF(V6=1," ","LINE AMPS BALANCED (3-PHASE)")</f>
        <v xml:space="preserve"> </v>
      </c>
      <c r="D24" s="451"/>
      <c r="E24" s="451"/>
      <c r="F24" s="479">
        <f>ROUND(F20*3/$V$7/1.732,1)</f>
        <v>0</v>
      </c>
      <c r="G24" s="463" t="s">
        <v>363</v>
      </c>
      <c r="H24" s="464"/>
      <c r="I24" s="479">
        <f>ROUND(I20*3/$V$7/1.732,1)</f>
        <v>0</v>
      </c>
      <c r="J24" s="463" t="s">
        <v>363</v>
      </c>
      <c r="K24" s="455"/>
      <c r="L24" s="479">
        <f>ROUND(L20*3/$V$7/1.732,1)</f>
        <v>0</v>
      </c>
      <c r="M24" s="463" t="s">
        <v>363</v>
      </c>
      <c r="N24" s="456"/>
      <c r="O24" s="456"/>
      <c r="P24" s="245"/>
      <c r="Q24" s="579"/>
      <c r="U24" s="454" t="s">
        <v>402</v>
      </c>
      <c r="W24" s="454">
        <f>COUNT(W20:W22)</f>
        <v>0</v>
      </c>
      <c r="X24" s="454">
        <f>IF(W24=1,W23,SUM(X20:X22))</f>
        <v>0</v>
      </c>
    </row>
    <row r="25" spans="2:41" ht="12" customHeight="1">
      <c r="B25" s="558"/>
      <c r="C25" s="461" t="s">
        <v>594</v>
      </c>
      <c r="D25" s="451"/>
      <c r="E25" s="451"/>
      <c r="F25" s="479">
        <f>IF(F21=0,0,SUM(F21:M21)/V7)</f>
        <v>0</v>
      </c>
      <c r="G25" s="463" t="s">
        <v>363</v>
      </c>
      <c r="H25" s="464"/>
      <c r="I25" s="479">
        <f>IF(I21=0,0,SUM(F21:M21)/V7)</f>
        <v>0</v>
      </c>
      <c r="J25" s="463" t="s">
        <v>363</v>
      </c>
      <c r="K25" s="455"/>
      <c r="L25" s="479">
        <f>IF(L21=0,0,SUM(F21:M21)/V7)</f>
        <v>0</v>
      </c>
      <c r="M25" s="463" t="s">
        <v>363</v>
      </c>
      <c r="N25" s="456"/>
      <c r="O25" s="456"/>
      <c r="P25" s="245"/>
      <c r="Q25" s="579"/>
      <c r="U25" s="455" t="s">
        <v>524</v>
      </c>
    </row>
    <row r="26" spans="2:41" ht="12" customHeight="1">
      <c r="B26" s="558"/>
      <c r="C26" s="461" t="s">
        <v>595</v>
      </c>
      <c r="D26" s="451"/>
      <c r="E26" s="462"/>
      <c r="F26" s="479">
        <f>IF(F22=0,0,F22/$V$8)</f>
        <v>0</v>
      </c>
      <c r="G26" s="463" t="s">
        <v>363</v>
      </c>
      <c r="H26" s="464"/>
      <c r="I26" s="479">
        <f>IF(I22=0,0,I22/$V$8)</f>
        <v>0</v>
      </c>
      <c r="J26" s="463" t="s">
        <v>363</v>
      </c>
      <c r="K26" s="455"/>
      <c r="L26" s="479">
        <f>IF(L22=0,0,L22/$V$8)</f>
        <v>0</v>
      </c>
      <c r="M26" s="463" t="s">
        <v>363</v>
      </c>
      <c r="N26" s="456"/>
      <c r="O26" s="456"/>
      <c r="P26" s="245"/>
      <c r="Q26" s="579"/>
      <c r="U26" s="455">
        <f>IF(V6=1,0,IF(V6="3Y",0,IF(AND(V21&gt;V20,V21&gt;V22),1,IF(AND(I29&gt;L29,I29&gt;F29),1,0))))</f>
        <v>0</v>
      </c>
      <c r="AF26" s="454">
        <f>MIN(AG26:AK26)</f>
        <v>2000</v>
      </c>
      <c r="AG26" s="454">
        <v>3750</v>
      </c>
      <c r="AI26" s="454">
        <v>2500</v>
      </c>
      <c r="AK26" s="454">
        <v>2000</v>
      </c>
    </row>
    <row r="27" spans="2:41" ht="12" customHeight="1">
      <c r="B27" s="558"/>
      <c r="C27" s="461" t="s">
        <v>395</v>
      </c>
      <c r="D27" s="462"/>
      <c r="E27" s="462"/>
      <c r="F27" s="480">
        <f>SUM(F24:F26)</f>
        <v>0</v>
      </c>
      <c r="G27" s="481" t="s">
        <v>363</v>
      </c>
      <c r="H27" s="482"/>
      <c r="I27" s="480">
        <f>SUM(I24:I26)</f>
        <v>0</v>
      </c>
      <c r="J27" s="481" t="s">
        <v>363</v>
      </c>
      <c r="K27" s="483"/>
      <c r="L27" s="480">
        <f>SUM(L24:L26)</f>
        <v>0</v>
      </c>
      <c r="M27" s="481" t="s">
        <v>363</v>
      </c>
      <c r="N27" s="484"/>
      <c r="O27" s="480" t="str">
        <f>IF(V10="AUTO",ROUND(O22/V8,1)," ")</f>
        <v xml:space="preserve"> </v>
      </c>
      <c r="P27" s="481" t="str">
        <f>IF(V10="AUTO","A"," ")</f>
        <v xml:space="preserve"> </v>
      </c>
      <c r="Q27" s="579"/>
      <c r="U27" s="455"/>
    </row>
    <row r="28" spans="2:41" ht="12" customHeight="1">
      <c r="B28" s="558"/>
      <c r="C28" s="461" t="s">
        <v>568</v>
      </c>
      <c r="D28" s="462"/>
      <c r="E28" s="462"/>
      <c r="F28" s="484">
        <f>ROUND(F27*V12/100,1)</f>
        <v>0</v>
      </c>
      <c r="G28" s="483" t="s">
        <v>363</v>
      </c>
      <c r="H28" s="482"/>
      <c r="I28" s="484">
        <f>IF(V11="FULL",ROUND(I27*V12/100,1),IF(V6="3D",ROUND(I27*V13/100,1),ROUND(I27*V12/100,1)))</f>
        <v>0</v>
      </c>
      <c r="J28" s="483" t="s">
        <v>363</v>
      </c>
      <c r="K28" s="483"/>
      <c r="L28" s="484">
        <f>IF(AND(V6=1,V15=1,V2=1),0,ROUND((L27*V12/100),1))</f>
        <v>0</v>
      </c>
      <c r="M28" s="483" t="s">
        <v>363</v>
      </c>
      <c r="N28" s="484"/>
      <c r="O28" s="484" t="str">
        <f>IF(V10="AUTO",O27*ROUND(V12/100,1)," ")</f>
        <v xml:space="preserve"> </v>
      </c>
      <c r="P28" s="483" t="str">
        <f>IF(V10="AUTO","A"," ")</f>
        <v xml:space="preserve"> </v>
      </c>
      <c r="Q28" s="579"/>
      <c r="U28" s="455">
        <f>SUM(F22:L22)</f>
        <v>0</v>
      </c>
      <c r="AG28" s="454">
        <f>$AF26</f>
        <v>2000</v>
      </c>
      <c r="AI28" s="454">
        <f>$AF26</f>
        <v>2000</v>
      </c>
      <c r="AK28" s="454">
        <f>$AF26</f>
        <v>2000</v>
      </c>
    </row>
    <row r="29" spans="2:41" ht="12" customHeight="1">
      <c r="B29" s="558"/>
      <c r="C29" s="461" t="s">
        <v>250</v>
      </c>
      <c r="D29" s="451"/>
      <c r="E29" s="462"/>
      <c r="F29" s="485">
        <f>ROUND(SUM(F27:F28),1)</f>
        <v>0</v>
      </c>
      <c r="G29" s="486" t="s">
        <v>363</v>
      </c>
      <c r="H29" s="487"/>
      <c r="I29" s="485">
        <f>ROUND(SUM(I27:I28),1)</f>
        <v>0</v>
      </c>
      <c r="J29" s="486" t="s">
        <v>363</v>
      </c>
      <c r="K29" s="488"/>
      <c r="L29" s="485">
        <f>IF(AND(V6=1,V15=1,V2=1),0,ROUND(SUM(L27:L28),1))</f>
        <v>0</v>
      </c>
      <c r="M29" s="486" t="s">
        <v>363</v>
      </c>
      <c r="N29" s="456"/>
      <c r="O29" s="485" t="str">
        <f>IF(V10="AUTO",SUM(O27:O28)," ")</f>
        <v xml:space="preserve"> </v>
      </c>
      <c r="P29" s="489" t="str">
        <f>IF(V10="AUTO","A"," ")</f>
        <v xml:space="preserve"> </v>
      </c>
      <c r="Q29" s="579"/>
      <c r="V29" s="483"/>
      <c r="W29" s="483"/>
      <c r="X29" s="483"/>
      <c r="Z29" s="454" t="s">
        <v>406</v>
      </c>
      <c r="AA29" s="453" t="s">
        <v>55</v>
      </c>
      <c r="AB29" s="453" t="s">
        <v>56</v>
      </c>
      <c r="AC29" s="453" t="s">
        <v>57</v>
      </c>
      <c r="AD29" s="453" t="s">
        <v>232</v>
      </c>
    </row>
    <row r="30" spans="2:41" ht="12" customHeight="1">
      <c r="B30" s="558"/>
      <c r="C30" s="461"/>
      <c r="D30" s="451"/>
      <c r="E30" s="490"/>
      <c r="F30" s="479"/>
      <c r="G30" s="488"/>
      <c r="H30" s="487"/>
      <c r="I30" s="479"/>
      <c r="J30" s="488"/>
      <c r="K30" s="488"/>
      <c r="L30" s="479"/>
      <c r="M30" s="245"/>
      <c r="N30" s="456"/>
      <c r="O30" s="456"/>
      <c r="P30" s="245"/>
      <c r="Q30" s="580"/>
      <c r="U30" s="454">
        <f>IF(AND('S-Input'!H11="NONE",'S-Calcs'!X24&gt;0),1,0)</f>
        <v>0</v>
      </c>
      <c r="Z30" s="454" t="s">
        <v>61</v>
      </c>
      <c r="AA30" s="454">
        <f>'S-Input'!AG76</f>
        <v>0</v>
      </c>
      <c r="AB30" s="454">
        <f>'S-Input'!AI76</f>
        <v>0</v>
      </c>
      <c r="AD30" s="454">
        <f>SUM(AA30:AC30)</f>
        <v>0</v>
      </c>
      <c r="AG30" s="454">
        <f>AG26-AG28</f>
        <v>1750</v>
      </c>
      <c r="AI30" s="454">
        <f>AI26-AI28</f>
        <v>500</v>
      </c>
      <c r="AK30" s="454">
        <f>AK26-AK28</f>
        <v>0</v>
      </c>
    </row>
    <row r="31" spans="2:41" ht="12" customHeight="1">
      <c r="B31" s="558"/>
      <c r="C31" s="461" t="str">
        <f>IF(V17="NO"," ","VOLTAGE DROP CALCULATIONS")</f>
        <v>VOLTAGE DROP CALCULATIONS</v>
      </c>
      <c r="D31" s="451"/>
      <c r="E31" s="490"/>
      <c r="F31" s="479"/>
      <c r="G31" s="488"/>
      <c r="H31" s="487"/>
      <c r="I31" s="479"/>
      <c r="J31" s="488"/>
      <c r="K31" s="488"/>
      <c r="L31" s="479"/>
      <c r="M31" s="245"/>
      <c r="N31" s="456"/>
      <c r="O31" s="456"/>
      <c r="P31" s="245"/>
      <c r="Q31" s="580"/>
    </row>
    <row r="32" spans="2:41" ht="12" customHeight="1">
      <c r="B32" s="558"/>
      <c r="C32" s="461"/>
      <c r="D32" s="451"/>
      <c r="E32" s="490" t="str">
        <f>IF(V17="NO"," ",IF(V14=0,IF(V6=1,'S-Input'!EN116,IF(V6="3Y",'S-Input'!EN117,'S-Input'!EN118)),IF('S-Input'!D4="TRANSFORMER (1-PHASE)",'S-Input'!GO116,IF('S-Input'!D4="TRANSFORMER (3-PHASE)",'S-Input'!GO117))))</f>
        <v>Single Phase</v>
      </c>
      <c r="F32" s="490" t="str">
        <f>IF(V17="NO"," ",IF(V14=0,IF(V6=1,'S-Input'!EO116,IF(V6="3Y",'S-Input'!EO117,'S-Input'!EO118)),IF('S-Input'!D4="TRANSFORMER (1-PHASE)",'S-Input'!GP116,IF('S-Input'!D4="TRANSFORMER (3-PHASE)",'S-Input'!GP117))))</f>
        <v>( 2 X 50' L X 0.8080 R X 0.0 A ÷ 1,000 )  = 0.0 VD</v>
      </c>
      <c r="G32" s="490"/>
      <c r="H32" s="490"/>
      <c r="I32" s="490"/>
      <c r="J32" s="490"/>
      <c r="K32" s="490"/>
      <c r="L32" s="490"/>
      <c r="M32" s="490"/>
      <c r="N32" s="456"/>
      <c r="O32" s="456"/>
      <c r="P32" s="245"/>
      <c r="Q32" s="580"/>
      <c r="U32" s="454">
        <f>IF(I26=0,99,0)</f>
        <v>99</v>
      </c>
    </row>
    <row r="33" spans="2:29" ht="12" customHeight="1">
      <c r="B33" s="558"/>
      <c r="C33" s="461"/>
      <c r="D33" s="451"/>
      <c r="E33" s="490" t="str">
        <f>IF(V17="NO"," ",IF(V14=0,IF(V6=1,'S-Input'!ER116,IF(V6="3Y",'S-Input'!ER117,'S-Input'!ER118)),IF('S-Input'!D4="TRANSFORMER (1-PHASE)",'S-Input'!GS116,IF('S-Input'!D4="TRANSFORMER (3-PHASE)",'S-Input'!GS117))))</f>
        <v>Voltage Drop %</v>
      </c>
      <c r="F33" s="490" t="str">
        <f>IF(V17="NO"," ",IF(V14=0,IF(V6=1,'S-Input'!ES116,IF(V6="3Y",'S-Input'!ES117,'S-Input'!ES118)),IF('S-Input'!D4="TRANSFORMER (1-PHASE)",'S-Input'!GT116,IF('S-Input'!D4="TRANSFORMER (3-PHASE)",'S-Input'!GT117))))</f>
        <v>( 0.0 VD ÷ 240 V X 100 ) = 0.0 % VD</v>
      </c>
      <c r="G33" s="490"/>
      <c r="H33" s="490"/>
      <c r="I33" s="490"/>
      <c r="J33" s="490"/>
      <c r="K33" s="490"/>
      <c r="L33" s="490"/>
      <c r="M33" s="490"/>
      <c r="N33" s="456"/>
      <c r="O33" s="456"/>
      <c r="P33" s="245"/>
      <c r="Q33" s="580"/>
      <c r="V33" s="483"/>
      <c r="W33" s="483"/>
      <c r="X33" s="483"/>
    </row>
    <row r="34" spans="2:29" ht="12" customHeight="1">
      <c r="B34" s="558"/>
      <c r="C34" s="461"/>
      <c r="D34" s="451"/>
      <c r="E34" s="490" t="str">
        <f>IF(V17="NO"," ",IF(V6="3D",'S-Input'!EN119,IF('S-Input'!X15=0," ",IF(V6=1,'S-Input'!EN116,IF(V6="3Y",'S-Input'!EN117," ")))))</f>
        <v xml:space="preserve"> </v>
      </c>
      <c r="F34" s="490" t="str">
        <f>IF(V17="NO"," ",IF(V6="3D",'S-Input'!EO119,IF('S-Input'!X15=0," ",IF(V6=1,'S-Input'!EO116,IF(V6="3Y",'S-Input'!EO117," ")))))</f>
        <v xml:space="preserve"> </v>
      </c>
      <c r="G34" s="490"/>
      <c r="H34" s="490"/>
      <c r="I34" s="490"/>
      <c r="J34" s="490"/>
      <c r="K34" s="490"/>
      <c r="L34" s="490"/>
      <c r="M34" s="490"/>
      <c r="N34" s="456"/>
      <c r="O34" s="456"/>
      <c r="P34" s="245"/>
      <c r="Q34" s="580"/>
    </row>
    <row r="35" spans="2:29" ht="12" customHeight="1">
      <c r="B35" s="558"/>
      <c r="C35" s="461"/>
      <c r="D35" s="451"/>
      <c r="E35" s="490" t="str">
        <f>IF(V17="NO"," ",IF(V6="3D",'S-Input'!ER119,IF('S-Input'!X15=0," ",IF(V6=1,'S-Input'!ER116,IF(V6="3Y",'S-Input'!ER117," ")))))</f>
        <v xml:space="preserve"> </v>
      </c>
      <c r="F35" s="490" t="str">
        <f>IF(V17="NO"," ",IF(V6="3D",'S-Input'!ES119,IF('S-Input'!X15=0," ",IF(V6=1,'S-Input'!ES116,IF(V6="3Y",'S-Input'!ES117," ")))))</f>
        <v xml:space="preserve"> </v>
      </c>
      <c r="G35" s="490"/>
      <c r="H35" s="490"/>
      <c r="I35" s="490"/>
      <c r="J35" s="490"/>
      <c r="K35" s="490"/>
      <c r="L35" s="490"/>
      <c r="M35" s="490"/>
      <c r="N35" s="456"/>
      <c r="O35" s="456"/>
      <c r="P35" s="245"/>
      <c r="Q35" s="580"/>
    </row>
    <row r="36" spans="2:29" ht="12" customHeight="1">
      <c r="B36" s="558"/>
      <c r="C36" s="461" t="str">
        <f>IF(V6&lt;&gt;"3Y"," ","HARMONIC CURRENT CALCULATION ( NEC 310.15 B (4) C )")</f>
        <v xml:space="preserve"> </v>
      </c>
      <c r="D36" s="451"/>
      <c r="E36" s="490"/>
      <c r="F36" s="490"/>
      <c r="G36" s="490"/>
      <c r="H36" s="490"/>
      <c r="I36" s="490"/>
      <c r="J36" s="490"/>
      <c r="K36" s="490"/>
      <c r="L36" s="245"/>
      <c r="M36" s="490"/>
      <c r="N36" s="456"/>
      <c r="O36" s="245"/>
      <c r="P36" s="245"/>
      <c r="Q36" s="580"/>
      <c r="V36" s="483"/>
      <c r="W36" s="483"/>
      <c r="X36" s="483"/>
    </row>
    <row r="37" spans="2:29" ht="12" customHeight="1">
      <c r="B37" s="558"/>
      <c r="C37" s="461"/>
      <c r="D37" s="451"/>
      <c r="E37" s="490" t="str">
        <f>IF(V6&lt;&gt;"3Y"," ",AE54)</f>
        <v xml:space="preserve"> </v>
      </c>
      <c r="F37" s="490"/>
      <c r="G37" s="490"/>
      <c r="H37" s="490"/>
      <c r="I37" s="490"/>
      <c r="J37" s="490"/>
      <c r="K37" s="490"/>
      <c r="L37" s="245"/>
      <c r="M37" s="490"/>
      <c r="N37" s="456"/>
      <c r="O37" s="245"/>
      <c r="P37" s="245"/>
      <c r="Q37" s="580"/>
    </row>
    <row r="38" spans="2:29" ht="12" customHeight="1">
      <c r="B38" s="558"/>
      <c r="C38" s="461"/>
      <c r="D38" s="451"/>
      <c r="E38" s="490" t="str">
        <f>IF(V6&lt;&gt;"3Y"," ",IF(V52&lt;0.5,"  Harmonic Load Does Not Exceed 50%","  Harmonic Load Exceeds 50% of Total Load and Conductors Have Been Derated to 80%"))</f>
        <v xml:space="preserve"> </v>
      </c>
      <c r="F38" s="490"/>
      <c r="G38" s="490"/>
      <c r="H38" s="490"/>
      <c r="I38" s="490"/>
      <c r="J38" s="490"/>
      <c r="K38" s="490"/>
      <c r="L38" s="245"/>
      <c r="M38" s="490"/>
      <c r="N38" s="456"/>
      <c r="O38" s="245"/>
      <c r="P38" s="245"/>
      <c r="Q38" s="580"/>
      <c r="Z38" s="591"/>
      <c r="AA38" s="591"/>
      <c r="AB38" s="591"/>
    </row>
    <row r="39" spans="2:29" ht="12" customHeight="1">
      <c r="B39" s="558"/>
      <c r="C39" s="461" t="str">
        <f>IF(V16="NONE"," ",IF('S-Input'!X15=0,"FAULT CURRENT CALCULATIONS",IF('S-Input'!X15=1,"PRIMARY FAULT CURRENT CALCULATIONS")))</f>
        <v>FAULT CURRENT CALCULATIONS</v>
      </c>
      <c r="D39" s="451"/>
      <c r="E39" s="490"/>
      <c r="F39" s="490"/>
      <c r="G39" s="490"/>
      <c r="H39" s="490"/>
      <c r="I39" s="490"/>
      <c r="J39" s="490"/>
      <c r="K39" s="490"/>
      <c r="L39" s="245"/>
      <c r="M39" s="490"/>
      <c r="N39" s="456"/>
      <c r="O39" s="245"/>
      <c r="P39" s="245"/>
      <c r="Q39" s="580"/>
      <c r="V39" s="483"/>
      <c r="W39" s="483"/>
      <c r="X39" s="483"/>
    </row>
    <row r="40" spans="2:29" ht="12" customHeight="1">
      <c r="B40" s="558"/>
      <c r="C40" s="461"/>
      <c r="D40" s="451"/>
      <c r="E40" s="490" t="str">
        <f>IF(V16="NONE"," ",IF('S-Input'!X15=0,'Short No-Xmfr'!S4,IF('S-Input'!X15=1,'Short Primary'!S4)))</f>
        <v>Available Fault Current at Starting Point  (( 15,304 AFC X 1.00 UA ) + 0 MC ) = 15,304 AFC</v>
      </c>
      <c r="F40" s="490"/>
      <c r="G40" s="490"/>
      <c r="H40" s="490"/>
      <c r="I40" s="490"/>
      <c r="J40" s="490"/>
      <c r="K40" s="490"/>
      <c r="L40" s="490"/>
      <c r="M40" s="490"/>
      <c r="N40" s="456"/>
      <c r="O40" s="456"/>
      <c r="P40" s="245"/>
      <c r="Q40" s="580"/>
    </row>
    <row r="41" spans="2:29" ht="12" customHeight="1">
      <c r="B41" s="558"/>
      <c r="C41" s="461"/>
      <c r="D41" s="451"/>
      <c r="E41" s="490" t="str">
        <f>IF(V16="NONE"," ",IF('S-Input'!X15=0,'Short No-Xmfr'!S22,IF('S-Input'!X15=1,'Short Primary'!S22)))</f>
        <v>Conductor Factor CF - Formula ( 2 X 50 L X 15,304 AFC  ) ÷ ( 1,482 C X 1 N X 240 V ) = 4.303 CF</v>
      </c>
      <c r="F41" s="490"/>
      <c r="G41" s="490"/>
      <c r="H41" s="490"/>
      <c r="I41" s="490"/>
      <c r="J41" s="490"/>
      <c r="K41" s="490"/>
      <c r="L41" s="490"/>
      <c r="M41" s="490"/>
      <c r="N41" s="456"/>
      <c r="O41" s="456"/>
      <c r="P41" s="245"/>
      <c r="Q41" s="580"/>
    </row>
    <row r="42" spans="2:29" ht="12" customHeight="1">
      <c r="B42" s="558"/>
      <c r="E42" s="490" t="str">
        <f>IF(V16="NONE"," ",IF('S-Input'!X15=0,'Short No-Xmfr'!S26,IF('S-Input'!X15=1,'Short Primary'!S26)))</f>
        <v xml:space="preserve">Conductor Multiplier CM - Formula  ( 1 ) ÷ ( 1 + 4.303 CF ) = 0.189 CM </v>
      </c>
      <c r="F42" s="490"/>
      <c r="G42" s="490"/>
      <c r="H42" s="490"/>
      <c r="I42" s="490"/>
      <c r="J42" s="490"/>
      <c r="K42" s="490"/>
      <c r="L42" s="490"/>
      <c r="M42" s="490"/>
      <c r="Q42" s="581"/>
      <c r="U42" s="454" t="s">
        <v>532</v>
      </c>
      <c r="V42" s="488">
        <f>MAX(F29:M29)</f>
        <v>0</v>
      </c>
      <c r="W42" s="488"/>
      <c r="X42" s="488"/>
    </row>
    <row r="43" spans="2:29" ht="12" customHeight="1">
      <c r="B43" s="558"/>
      <c r="E43" s="490" t="str">
        <f>IF(V16="NONE"," ",IF('S-Input'!X15=0,'Short No-Xmfr'!S30,IF('S-Input'!X15=1,'Short Primary'!S30)))</f>
        <v>Conductor Let-Through Current CLC - Formula ( 15,304 AFC X 0.189 CM ) = 2,892 CLC</v>
      </c>
      <c r="F43" s="245"/>
      <c r="G43" s="245"/>
      <c r="H43" s="245"/>
      <c r="I43" s="245"/>
      <c r="J43" s="245"/>
      <c r="K43" s="245"/>
      <c r="L43" s="245"/>
      <c r="M43" s="245"/>
      <c r="O43" s="455"/>
      <c r="Q43" s="581"/>
      <c r="U43" s="455"/>
      <c r="Z43" s="491"/>
      <c r="AA43" s="491"/>
    </row>
    <row r="44" spans="2:29" ht="12" customHeight="1">
      <c r="B44" s="558"/>
      <c r="C44" s="454" t="str">
        <f>IF(V16="NONE"," ",IF('S-Input'!X15=0," ",IF('S-Input'!X15=1,"TRANSFORMER LET THROUGH CURRENT CALCULATIONS")))</f>
        <v xml:space="preserve"> </v>
      </c>
      <c r="E44" s="490"/>
      <c r="F44" s="245"/>
      <c r="G44" s="245"/>
      <c r="H44" s="245"/>
      <c r="I44" s="245"/>
      <c r="J44" s="245"/>
      <c r="K44" s="245"/>
      <c r="L44" s="245"/>
      <c r="M44" s="245"/>
      <c r="O44" s="455"/>
      <c r="Q44" s="581"/>
      <c r="U44" s="454" t="s">
        <v>55</v>
      </c>
      <c r="V44" s="455">
        <f>SUM(F20:F26)</f>
        <v>0</v>
      </c>
      <c r="W44" s="455"/>
      <c r="X44" s="455"/>
    </row>
    <row r="45" spans="2:29" ht="12" customHeight="1">
      <c r="B45" s="558"/>
      <c r="E45" s="490" t="str">
        <f>IF(V16="NONE"," ",IF('S-Input'!X15=0," ",IF('S-Input'!X15=1,'Short With Xmfr'!T22)))</f>
        <v xml:space="preserve"> </v>
      </c>
      <c r="F45" s="245"/>
      <c r="G45" s="245"/>
      <c r="H45" s="245"/>
      <c r="I45" s="245"/>
      <c r="J45" s="245"/>
      <c r="K45" s="245"/>
      <c r="L45" s="245"/>
      <c r="M45" s="245"/>
      <c r="O45" s="455"/>
      <c r="Q45" s="581"/>
      <c r="U45" s="454" t="s">
        <v>56</v>
      </c>
      <c r="V45" s="455">
        <f>I20</f>
        <v>0</v>
      </c>
      <c r="W45" s="455"/>
      <c r="X45" s="455"/>
      <c r="AA45" s="455"/>
      <c r="AC45" s="492"/>
    </row>
    <row r="46" spans="2:29" ht="12" customHeight="1">
      <c r="B46" s="558"/>
      <c r="E46" s="490" t="str">
        <f>IF(V16="NONE"," ",IF('S-Input'!X15=0," ",IF('S-Input'!X15=1,'Short With Xmfr'!T25)))</f>
        <v xml:space="preserve"> </v>
      </c>
      <c r="F46" s="245"/>
      <c r="G46" s="245"/>
      <c r="H46" s="245"/>
      <c r="I46" s="245"/>
      <c r="J46" s="245"/>
      <c r="K46" s="245"/>
      <c r="L46" s="245"/>
      <c r="M46" s="245"/>
      <c r="O46" s="455"/>
      <c r="Q46" s="581"/>
      <c r="U46" s="454" t="s">
        <v>57</v>
      </c>
      <c r="V46" s="455">
        <f>SUM(L20:L26)</f>
        <v>0</v>
      </c>
      <c r="W46" s="455"/>
      <c r="X46" s="455"/>
      <c r="AA46" s="455"/>
      <c r="AC46" s="492"/>
    </row>
    <row r="47" spans="2:29" ht="12" customHeight="1">
      <c r="B47" s="558"/>
      <c r="E47" s="490" t="str">
        <f>IF(V16="NONE"," ",IF('S-Input'!X15=0," ",IF('S-Input'!X15=1,'Short With Xmfr'!T28)))</f>
        <v xml:space="preserve"> </v>
      </c>
      <c r="F47" s="245"/>
      <c r="G47" s="245"/>
      <c r="H47" s="245"/>
      <c r="I47" s="245"/>
      <c r="J47" s="245"/>
      <c r="K47" s="245"/>
      <c r="L47" s="245"/>
      <c r="M47" s="245"/>
      <c r="O47" s="455"/>
      <c r="Q47" s="581"/>
      <c r="U47" s="454" t="s">
        <v>533</v>
      </c>
      <c r="V47" s="455">
        <f>MAX(V44:V46)</f>
        <v>0</v>
      </c>
      <c r="W47" s="455"/>
      <c r="X47" s="455"/>
      <c r="AA47" s="455"/>
      <c r="AC47" s="492"/>
    </row>
    <row r="48" spans="2:29" ht="12" customHeight="1">
      <c r="B48" s="558"/>
      <c r="C48" s="454" t="str">
        <f>IF(V16="NONE"," ",IF('S-Input'!X15=0," ",IF('S-Input'!X15=1,"SECONDARY FAULT CURRENT CALCULATIONS")))</f>
        <v xml:space="preserve"> </v>
      </c>
      <c r="E48" s="490"/>
      <c r="F48" s="245"/>
      <c r="G48" s="245"/>
      <c r="H48" s="245"/>
      <c r="I48" s="245"/>
      <c r="J48" s="245"/>
      <c r="K48" s="245"/>
      <c r="L48" s="245"/>
      <c r="M48" s="245"/>
      <c r="O48" s="455"/>
      <c r="Q48" s="581"/>
    </row>
    <row r="49" spans="2:31" ht="12" customHeight="1">
      <c r="B49" s="558"/>
      <c r="E49" s="490" t="str">
        <f>IF(V16="NONE"," ",IF('S-Input'!X15=0," ",IF('S-Input'!X15=1,'Short With Xmfr'!S6)))</f>
        <v xml:space="preserve"> </v>
      </c>
      <c r="F49" s="245"/>
      <c r="G49" s="245"/>
      <c r="H49" s="245"/>
      <c r="I49" s="245"/>
      <c r="J49" s="245"/>
      <c r="K49" s="245"/>
      <c r="L49" s="245"/>
      <c r="M49" s="245"/>
      <c r="O49" s="455"/>
      <c r="Q49" s="581"/>
    </row>
    <row r="50" spans="2:31" ht="12" customHeight="1">
      <c r="B50" s="558"/>
      <c r="E50" s="490" t="str">
        <f>IF(V16="NONE"," ",IF('S-Input'!X15=0," ",IF('S-Input'!X15=1,'Short With Xmfr'!S10)))</f>
        <v xml:space="preserve"> </v>
      </c>
      <c r="F50" s="245"/>
      <c r="G50" s="245"/>
      <c r="H50" s="245"/>
      <c r="I50" s="245"/>
      <c r="J50" s="245"/>
      <c r="K50" s="245"/>
      <c r="L50" s="245"/>
      <c r="M50" s="245"/>
      <c r="O50" s="455"/>
      <c r="Q50" s="581"/>
      <c r="U50" s="454" t="s">
        <v>481</v>
      </c>
      <c r="V50" s="454">
        <f>'S-Input'!AS76</f>
        <v>0</v>
      </c>
    </row>
    <row r="51" spans="2:31" ht="12" customHeight="1">
      <c r="B51" s="558"/>
      <c r="E51" s="490" t="str">
        <f>IF(V16="NONE"," ",IF('S-Input'!X15=0," ",IF('S-Input'!X15=1,'Short With Xmfr'!S14)))</f>
        <v xml:space="preserve"> </v>
      </c>
      <c r="F51" s="245"/>
      <c r="G51" s="245"/>
      <c r="H51" s="245"/>
      <c r="I51" s="245"/>
      <c r="J51" s="245"/>
      <c r="K51" s="245"/>
      <c r="L51" s="245"/>
      <c r="M51" s="245"/>
      <c r="O51" s="455"/>
      <c r="Q51" s="581"/>
      <c r="U51" s="454" t="s">
        <v>108</v>
      </c>
      <c r="V51" s="454">
        <f>'S-Input'!Y79</f>
        <v>0</v>
      </c>
    </row>
    <row r="52" spans="2:31" ht="12" customHeight="1">
      <c r="B52" s="558"/>
      <c r="E52" s="490"/>
      <c r="F52" s="245"/>
      <c r="G52" s="245"/>
      <c r="H52" s="245"/>
      <c r="I52" s="245"/>
      <c r="J52" s="245"/>
      <c r="K52" s="245"/>
      <c r="L52" s="245"/>
      <c r="M52" s="245"/>
      <c r="O52" s="455"/>
      <c r="Q52" s="581"/>
      <c r="U52" s="454" t="s">
        <v>558</v>
      </c>
      <c r="V52" s="493">
        <f>IF(V51=0,0,V50/V51)</f>
        <v>0</v>
      </c>
      <c r="W52" s="493"/>
      <c r="X52" s="493"/>
    </row>
    <row r="53" spans="2:31" ht="12" customHeight="1">
      <c r="B53" s="558"/>
      <c r="C53" s="454" t="str">
        <f>U65</f>
        <v>A - Amps</v>
      </c>
      <c r="F53" s="454" t="str">
        <f>U73</f>
        <v>N - Number of Conductors Per Phase</v>
      </c>
      <c r="J53" s="245"/>
      <c r="K53" s="245"/>
      <c r="L53" s="454" t="str">
        <f>U81</f>
        <v xml:space="preserve"> </v>
      </c>
      <c r="Q53" s="581"/>
    </row>
    <row r="54" spans="2:31" ht="12" customHeight="1">
      <c r="B54" s="558"/>
      <c r="C54" s="454" t="str">
        <f t="shared" ref="C54:C60" si="0">U66</f>
        <v>AFC - Available Fault Current</v>
      </c>
      <c r="D54" s="461"/>
      <c r="E54" s="461"/>
      <c r="F54" s="454" t="str">
        <f t="shared" ref="F54:F60" si="1">U74</f>
        <v>R - Resistance</v>
      </c>
      <c r="G54" s="461"/>
      <c r="H54" s="461"/>
      <c r="I54" s="461"/>
      <c r="J54" s="245"/>
      <c r="K54" s="245"/>
      <c r="L54" s="454" t="str">
        <f>U82</f>
        <v xml:space="preserve"> </v>
      </c>
      <c r="Q54" s="581"/>
      <c r="V54" s="454" t="s">
        <v>245</v>
      </c>
      <c r="W54" s="454" t="s">
        <v>559</v>
      </c>
      <c r="X54" s="454" t="str">
        <f>TEXT(V50, "#,##0")</f>
        <v>0</v>
      </c>
      <c r="Y54" s="454" t="s">
        <v>560</v>
      </c>
      <c r="Z54" s="454" t="s">
        <v>561</v>
      </c>
      <c r="AA54" s="454" t="str">
        <f>TEXT(V51, "#,##0")</f>
        <v>0</v>
      </c>
      <c r="AB54" s="454" t="s">
        <v>562</v>
      </c>
      <c r="AC54" s="454">
        <f>ROUND(V52*100,1)</f>
        <v>0</v>
      </c>
      <c r="AD54" s="454" t="s">
        <v>246</v>
      </c>
      <c r="AE54" s="454" t="str">
        <f>CONCATENATE(V54,W54,X54,Y54,Z54,AA54,AB54,AC54,AD54)</f>
        <v>( Harmonic Load 0 VA ÷ Connected Load 0 VA ) X 100 = 0 %</v>
      </c>
    </row>
    <row r="55" spans="2:31" ht="12" customHeight="1">
      <c r="B55" s="558"/>
      <c r="C55" s="454" t="str">
        <f t="shared" si="0"/>
        <v>C - Conductor Constant</v>
      </c>
      <c r="D55" s="461"/>
      <c r="E55" s="461"/>
      <c r="F55" s="454" t="str">
        <f t="shared" si="1"/>
        <v>UA - Utility Adjustment 1.1</v>
      </c>
      <c r="J55" s="245"/>
      <c r="K55" s="245"/>
      <c r="L55" s="454" t="str">
        <f>U83</f>
        <v xml:space="preserve"> </v>
      </c>
      <c r="M55" s="461"/>
      <c r="N55" s="461"/>
      <c r="O55" s="461"/>
      <c r="Q55" s="581"/>
    </row>
    <row r="56" spans="2:31" ht="12" customHeight="1">
      <c r="B56" s="558"/>
      <c r="C56" s="454" t="str">
        <f t="shared" si="0"/>
        <v>CF - Conductor Factor</v>
      </c>
      <c r="D56" s="461"/>
      <c r="E56" s="461"/>
      <c r="F56" s="454" t="str">
        <f t="shared" si="1"/>
        <v>V - Voltage</v>
      </c>
      <c r="G56" s="461"/>
      <c r="H56" s="461"/>
      <c r="I56" s="461"/>
      <c r="J56" s="245"/>
      <c r="K56" s="245"/>
      <c r="L56" s="454" t="str">
        <f>U84</f>
        <v xml:space="preserve"> </v>
      </c>
      <c r="M56" s="461"/>
      <c r="N56" s="461"/>
      <c r="O56" s="461"/>
      <c r="Q56" s="581"/>
    </row>
    <row r="57" spans="2:31" ht="12" customHeight="1">
      <c r="B57" s="558"/>
      <c r="C57" s="454" t="str">
        <f t="shared" si="0"/>
        <v>CLC - Conductor Let-Through Current</v>
      </c>
      <c r="D57" s="461"/>
      <c r="E57" s="461"/>
      <c r="F57" s="454" t="str">
        <f t="shared" si="1"/>
        <v>VA - Volt Amps</v>
      </c>
      <c r="J57" s="245"/>
      <c r="K57" s="245"/>
      <c r="L57" s="454" t="str">
        <f>U85</f>
        <v xml:space="preserve"> </v>
      </c>
      <c r="M57" s="461"/>
      <c r="N57" s="461"/>
      <c r="O57" s="461"/>
      <c r="Q57" s="581"/>
      <c r="U57" s="454">
        <f>IF(AND(V16="NONE",V17="NO"),2,0)</f>
        <v>0</v>
      </c>
    </row>
    <row r="58" spans="2:31" ht="12" customHeight="1">
      <c r="B58" s="558"/>
      <c r="C58" s="454" t="str">
        <f t="shared" si="0"/>
        <v>CM - Conductor Multiplier</v>
      </c>
      <c r="D58" s="461"/>
      <c r="E58" s="461"/>
      <c r="F58" s="454" t="str">
        <f t="shared" si="1"/>
        <v>VD - Voltage Drop</v>
      </c>
      <c r="G58" s="461"/>
      <c r="H58" s="461"/>
      <c r="I58" s="461"/>
      <c r="J58" s="245"/>
      <c r="K58" s="245"/>
      <c r="M58" s="461"/>
      <c r="N58" s="461"/>
      <c r="O58" s="461"/>
      <c r="Q58" s="581"/>
      <c r="U58" s="454">
        <f>IF(AND(V16="NONE",V17="YES"),3,0)</f>
        <v>0</v>
      </c>
    </row>
    <row r="59" spans="2:31" ht="12" customHeight="1">
      <c r="B59" s="558"/>
      <c r="C59" s="454" t="str">
        <f t="shared" si="0"/>
        <v>L - Length of Conductor</v>
      </c>
      <c r="D59" s="461"/>
      <c r="E59" s="461"/>
      <c r="F59" s="454" t="str">
        <f t="shared" si="1"/>
        <v xml:space="preserve"> </v>
      </c>
      <c r="J59" s="245"/>
      <c r="K59" s="245"/>
      <c r="M59" s="245"/>
      <c r="O59" s="455"/>
      <c r="Q59" s="581"/>
      <c r="U59" s="454">
        <f>IF(AND(V16="YES",V17="NO"),4,0)</f>
        <v>0</v>
      </c>
    </row>
    <row r="60" spans="2:31" ht="12" customHeight="1">
      <c r="B60" s="558"/>
      <c r="C60" s="454" t="str">
        <f t="shared" si="0"/>
        <v>MC - Motor Contribution</v>
      </c>
      <c r="D60" s="461"/>
      <c r="E60" s="461"/>
      <c r="F60" s="454" t="str">
        <f t="shared" si="1"/>
        <v xml:space="preserve"> </v>
      </c>
      <c r="J60" s="245"/>
      <c r="K60" s="245"/>
      <c r="M60" s="245"/>
      <c r="O60" s="455"/>
      <c r="Q60" s="581"/>
      <c r="U60" s="454">
        <f>IF(AND(V16="YES",V17="YES"),5,0)</f>
        <v>5</v>
      </c>
    </row>
    <row r="61" spans="2:31" ht="12" customHeight="1">
      <c r="B61" s="558"/>
      <c r="E61" s="490"/>
      <c r="F61" s="245"/>
      <c r="G61" s="245"/>
      <c r="H61" s="245"/>
      <c r="I61" s="245"/>
      <c r="J61" s="245"/>
      <c r="K61" s="245"/>
      <c r="L61" s="245"/>
      <c r="M61" s="245"/>
      <c r="O61" s="455"/>
      <c r="Q61" s="581"/>
    </row>
    <row r="62" spans="2:31" ht="12" customHeight="1">
      <c r="B62" s="582"/>
      <c r="C62" s="554" t="s">
        <v>985</v>
      </c>
      <c r="D62" s="554"/>
      <c r="E62" s="583"/>
      <c r="F62" s="584"/>
      <c r="G62" s="584"/>
      <c r="H62" s="584"/>
      <c r="I62" s="584"/>
      <c r="J62" s="584"/>
      <c r="K62" s="584"/>
      <c r="L62" s="584"/>
      <c r="M62" s="584"/>
      <c r="N62" s="554"/>
      <c r="O62" s="585"/>
      <c r="P62" s="554"/>
      <c r="Q62" s="586"/>
    </row>
    <row r="63" spans="2:31" ht="14.1" customHeight="1">
      <c r="B63" s="450"/>
      <c r="E63" s="490"/>
      <c r="F63" s="245"/>
      <c r="G63" s="245"/>
      <c r="H63" s="245"/>
      <c r="I63" s="245"/>
      <c r="J63" s="245"/>
      <c r="K63" s="245"/>
      <c r="L63" s="245"/>
      <c r="M63" s="245"/>
      <c r="O63" s="455"/>
      <c r="U63" s="454">
        <f>SUM(U57:U60)</f>
        <v>5</v>
      </c>
      <c r="W63" s="451">
        <v>2</v>
      </c>
      <c r="X63" s="451">
        <v>3</v>
      </c>
      <c r="Y63" s="451">
        <v>4</v>
      </c>
      <c r="Z63" s="451">
        <v>5</v>
      </c>
      <c r="AA63" s="451">
        <v>6</v>
      </c>
      <c r="AB63" s="454">
        <v>7</v>
      </c>
    </row>
    <row r="64" spans="2:31" ht="14.1" hidden="1" customHeight="1">
      <c r="B64" s="450"/>
      <c r="E64" s="490"/>
      <c r="F64" s="245"/>
      <c r="G64" s="245"/>
      <c r="H64" s="245"/>
      <c r="I64" s="245"/>
      <c r="J64" s="245"/>
      <c r="K64" s="245"/>
      <c r="L64" s="245"/>
      <c r="M64" s="245"/>
      <c r="O64" s="455"/>
      <c r="W64" s="451"/>
      <c r="X64" s="245"/>
      <c r="Y64" s="451"/>
      <c r="Z64" s="451"/>
      <c r="AA64" s="451"/>
    </row>
    <row r="65" spans="2:28" ht="14.1" hidden="1" customHeight="1">
      <c r="B65" s="450"/>
      <c r="U65" s="454" t="str">
        <f>IF(U$63=2,W65,IF(U$63=3,X65,IF(U$63=4,Y65,IF(U$63=5,Z65,IF(U$63=6,AA65,IF(U$63=7,AB65))))))</f>
        <v>A - Amps</v>
      </c>
      <c r="W65" s="245" t="s">
        <v>733</v>
      </c>
      <c r="X65" s="245" t="s">
        <v>733</v>
      </c>
      <c r="Y65" s="245" t="s">
        <v>733</v>
      </c>
      <c r="Z65" s="245" t="s">
        <v>733</v>
      </c>
      <c r="AA65" s="245" t="s">
        <v>753</v>
      </c>
      <c r="AB65" s="245" t="s">
        <v>753</v>
      </c>
    </row>
    <row r="66" spans="2:28" ht="14.1" hidden="1" customHeight="1">
      <c r="C66" s="461"/>
      <c r="U66" s="454" t="str">
        <f t="shared" ref="U66:U85" si="2">IF(U$63=2,W66,IF(U$63=3,X66,IF(U$63=4,Y66,IF(U$63=5,Z66,IF(U$63=6,AA66,IF(U$63=7,AB66))))))</f>
        <v>AFC - Available Fault Current</v>
      </c>
      <c r="W66" s="245" t="s">
        <v>751</v>
      </c>
      <c r="X66" s="245" t="s">
        <v>740</v>
      </c>
      <c r="Y66" s="245" t="s">
        <v>734</v>
      </c>
      <c r="Z66" s="245" t="s">
        <v>734</v>
      </c>
      <c r="AA66" s="245" t="s">
        <v>733</v>
      </c>
      <c r="AB66" s="245" t="s">
        <v>733</v>
      </c>
    </row>
    <row r="67" spans="2:28" ht="14.1" hidden="1" customHeight="1">
      <c r="C67" s="461"/>
      <c r="D67" s="46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  <c r="U67" s="454" t="str">
        <f t="shared" si="2"/>
        <v>C - Conductor Constant</v>
      </c>
      <c r="W67" s="245" t="s">
        <v>12</v>
      </c>
      <c r="X67" s="245" t="s">
        <v>744</v>
      </c>
      <c r="Y67" s="245" t="s">
        <v>735</v>
      </c>
      <c r="Z67" s="245" t="s">
        <v>735</v>
      </c>
      <c r="AA67" s="245" t="s">
        <v>734</v>
      </c>
      <c r="AB67" s="245" t="s">
        <v>734</v>
      </c>
    </row>
    <row r="68" spans="2:28" ht="14.1" hidden="1" customHeight="1"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54" t="str">
        <f t="shared" si="2"/>
        <v>CF - Conductor Factor</v>
      </c>
      <c r="W68" s="245" t="s">
        <v>12</v>
      </c>
      <c r="X68" s="245" t="s">
        <v>750</v>
      </c>
      <c r="Y68" s="245" t="s">
        <v>736</v>
      </c>
      <c r="Z68" s="245" t="s">
        <v>736</v>
      </c>
      <c r="AA68" s="245" t="s">
        <v>735</v>
      </c>
      <c r="AB68" s="245" t="s">
        <v>735</v>
      </c>
    </row>
    <row r="69" spans="2:28" ht="14.1" hidden="1" customHeight="1"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461"/>
      <c r="U69" s="454" t="str">
        <f t="shared" si="2"/>
        <v>CLC - Conductor Let-Through Current</v>
      </c>
      <c r="W69" s="245" t="s">
        <v>12</v>
      </c>
      <c r="X69" s="245" t="s">
        <v>751</v>
      </c>
      <c r="Y69" s="245" t="s">
        <v>737</v>
      </c>
      <c r="Z69" s="245" t="s">
        <v>737</v>
      </c>
      <c r="AA69" s="245" t="s">
        <v>736</v>
      </c>
      <c r="AB69" s="245" t="s">
        <v>736</v>
      </c>
    </row>
    <row r="70" spans="2:28" ht="14.1" hidden="1" customHeight="1">
      <c r="C70" s="461"/>
      <c r="D70" s="461"/>
      <c r="E70" s="461"/>
      <c r="F70" s="461"/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  <c r="R70" s="461"/>
      <c r="S70" s="461"/>
      <c r="T70" s="461"/>
      <c r="U70" s="454" t="str">
        <f t="shared" si="2"/>
        <v>CM - Conductor Multiplier</v>
      </c>
      <c r="W70" s="245" t="s">
        <v>12</v>
      </c>
      <c r="X70" s="245" t="s">
        <v>752</v>
      </c>
      <c r="Y70" s="245" t="s">
        <v>738</v>
      </c>
      <c r="Z70" s="245" t="s">
        <v>738</v>
      </c>
      <c r="AA70" s="245" t="s">
        <v>737</v>
      </c>
      <c r="AB70" s="245" t="s">
        <v>737</v>
      </c>
    </row>
    <row r="71" spans="2:28" ht="14.1" hidden="1" customHeight="1">
      <c r="C71" s="461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54" t="str">
        <f t="shared" si="2"/>
        <v>L - Length of Conductor</v>
      </c>
      <c r="W71" s="451" t="s">
        <v>12</v>
      </c>
      <c r="X71" s="451" t="s">
        <v>12</v>
      </c>
      <c r="Y71" s="245" t="s">
        <v>740</v>
      </c>
      <c r="Z71" s="245" t="s">
        <v>740</v>
      </c>
      <c r="AA71" s="245" t="s">
        <v>738</v>
      </c>
      <c r="AB71" s="245" t="s">
        <v>738</v>
      </c>
    </row>
    <row r="72" spans="2:28" ht="14.1" hidden="1" customHeight="1">
      <c r="C72" s="461"/>
      <c r="D72" s="461"/>
      <c r="E72" s="461"/>
      <c r="F72" s="461"/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  <c r="T72" s="461"/>
      <c r="U72" s="454" t="str">
        <f t="shared" si="2"/>
        <v>MC - Motor Contribution</v>
      </c>
      <c r="W72" s="451" t="s">
        <v>12</v>
      </c>
      <c r="X72" s="451" t="s">
        <v>12</v>
      </c>
      <c r="Y72" s="245" t="s">
        <v>741</v>
      </c>
      <c r="Z72" s="245" t="s">
        <v>741</v>
      </c>
      <c r="AA72" s="245" t="s">
        <v>739</v>
      </c>
      <c r="AB72" s="245" t="s">
        <v>739</v>
      </c>
    </row>
    <row r="73" spans="2:28" ht="14.1" hidden="1" customHeight="1">
      <c r="U73" s="454" t="str">
        <f t="shared" si="2"/>
        <v>N - Number of Conductors Per Phase</v>
      </c>
      <c r="W73" s="451" t="s">
        <v>12</v>
      </c>
      <c r="X73" s="451" t="s">
        <v>12</v>
      </c>
      <c r="Y73" s="245" t="s">
        <v>742</v>
      </c>
      <c r="Z73" s="245" t="s">
        <v>742</v>
      </c>
      <c r="AA73" s="245" t="s">
        <v>740</v>
      </c>
      <c r="AB73" s="245" t="s">
        <v>740</v>
      </c>
    </row>
    <row r="74" spans="2:28" ht="14.1" hidden="1" customHeight="1"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1"/>
      <c r="R74" s="461"/>
      <c r="S74" s="461"/>
      <c r="T74" s="461"/>
      <c r="U74" s="454" t="str">
        <f t="shared" si="2"/>
        <v>R - Resistance</v>
      </c>
      <c r="W74" s="451" t="s">
        <v>12</v>
      </c>
      <c r="X74" s="451" t="s">
        <v>12</v>
      </c>
      <c r="Y74" s="245" t="s">
        <v>749</v>
      </c>
      <c r="Z74" s="245" t="s">
        <v>744</v>
      </c>
      <c r="AA74" s="245" t="s">
        <v>741</v>
      </c>
      <c r="AB74" s="245" t="s">
        <v>741</v>
      </c>
    </row>
    <row r="75" spans="2:28" ht="14.1" hidden="1" customHeight="1">
      <c r="U75" s="454" t="str">
        <f t="shared" si="2"/>
        <v>UA - Utility Adjustment 1.1</v>
      </c>
      <c r="W75" s="451" t="s">
        <v>12</v>
      </c>
      <c r="X75" s="451" t="s">
        <v>12</v>
      </c>
      <c r="Y75" s="245" t="s">
        <v>750</v>
      </c>
      <c r="Z75" s="245" t="s">
        <v>749</v>
      </c>
      <c r="AA75" s="245" t="s">
        <v>742</v>
      </c>
      <c r="AB75" s="245" t="s">
        <v>742</v>
      </c>
    </row>
    <row r="76" spans="2:28" ht="14.1" hidden="1" customHeight="1">
      <c r="D76" s="461"/>
      <c r="E76" s="461"/>
      <c r="F76" s="461"/>
      <c r="G76" s="461"/>
      <c r="H76" s="461"/>
      <c r="I76" s="461"/>
      <c r="J76" s="461"/>
      <c r="K76" s="461"/>
      <c r="L76" s="461"/>
      <c r="M76" s="461"/>
      <c r="N76" s="461"/>
      <c r="O76" s="461"/>
      <c r="P76" s="461"/>
      <c r="Q76" s="461"/>
      <c r="R76" s="461"/>
      <c r="S76" s="461"/>
      <c r="T76" s="461"/>
      <c r="U76" s="454" t="str">
        <f t="shared" si="2"/>
        <v>V - Voltage</v>
      </c>
      <c r="W76" s="451" t="s">
        <v>12</v>
      </c>
      <c r="X76" s="451" t="s">
        <v>12</v>
      </c>
      <c r="Y76" s="245" t="s">
        <v>751</v>
      </c>
      <c r="Z76" s="245" t="s">
        <v>750</v>
      </c>
      <c r="AA76" s="245" t="s">
        <v>743</v>
      </c>
      <c r="AB76" s="245" t="s">
        <v>743</v>
      </c>
    </row>
    <row r="77" spans="2:28" ht="14.1" hidden="1" customHeight="1">
      <c r="U77" s="454" t="str">
        <f t="shared" si="2"/>
        <v>VA - Volt Amps</v>
      </c>
      <c r="W77" s="451" t="s">
        <v>12</v>
      </c>
      <c r="X77" s="451" t="s">
        <v>12</v>
      </c>
      <c r="Y77" s="245" t="s">
        <v>12</v>
      </c>
      <c r="Z77" s="245" t="s">
        <v>751</v>
      </c>
      <c r="AA77" s="245" t="s">
        <v>745</v>
      </c>
      <c r="AB77" s="245" t="s">
        <v>744</v>
      </c>
    </row>
    <row r="78" spans="2:28" ht="14.1" hidden="1" customHeight="1">
      <c r="D78" s="461"/>
      <c r="E78" s="461"/>
      <c r="F78" s="461"/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  <c r="R78" s="461"/>
      <c r="S78" s="461"/>
      <c r="T78" s="461"/>
      <c r="U78" s="454" t="str">
        <f t="shared" si="2"/>
        <v>VD - Voltage Drop</v>
      </c>
      <c r="W78" s="451" t="s">
        <v>12</v>
      </c>
      <c r="X78" s="451" t="s">
        <v>12</v>
      </c>
      <c r="Y78" s="245" t="s">
        <v>12</v>
      </c>
      <c r="Z78" s="245" t="s">
        <v>752</v>
      </c>
      <c r="AA78" s="245" t="s">
        <v>746</v>
      </c>
      <c r="AB78" s="245" t="s">
        <v>745</v>
      </c>
    </row>
    <row r="79" spans="2:28" ht="14.1" hidden="1" customHeight="1">
      <c r="U79" s="454" t="str">
        <f t="shared" si="2"/>
        <v xml:space="preserve"> </v>
      </c>
      <c r="W79" s="451" t="s">
        <v>12</v>
      </c>
      <c r="X79" s="451" t="s">
        <v>12</v>
      </c>
      <c r="Y79" s="451" t="s">
        <v>12</v>
      </c>
      <c r="Z79" s="451" t="s">
        <v>12</v>
      </c>
      <c r="AA79" s="245" t="s">
        <v>747</v>
      </c>
      <c r="AB79" s="245" t="s">
        <v>746</v>
      </c>
    </row>
    <row r="80" spans="2:28" ht="14.1" hidden="1" customHeight="1">
      <c r="U80" s="454" t="str">
        <f t="shared" si="2"/>
        <v xml:space="preserve"> </v>
      </c>
      <c r="W80" s="451" t="s">
        <v>12</v>
      </c>
      <c r="X80" s="451" t="s">
        <v>12</v>
      </c>
      <c r="Y80" s="451" t="s">
        <v>12</v>
      </c>
      <c r="Z80" s="451" t="s">
        <v>12</v>
      </c>
      <c r="AA80" s="245" t="s">
        <v>748</v>
      </c>
      <c r="AB80" s="245" t="s">
        <v>747</v>
      </c>
    </row>
    <row r="81" spans="4:46" ht="14.1" hidden="1" customHeight="1">
      <c r="U81" s="454" t="str">
        <f t="shared" si="2"/>
        <v xml:space="preserve"> </v>
      </c>
      <c r="W81" s="451" t="s">
        <v>12</v>
      </c>
      <c r="X81" s="451" t="s">
        <v>12</v>
      </c>
      <c r="Y81" s="451" t="s">
        <v>12</v>
      </c>
      <c r="Z81" s="451" t="s">
        <v>12</v>
      </c>
      <c r="AA81" s="245" t="s">
        <v>749</v>
      </c>
      <c r="AB81" s="245" t="s">
        <v>748</v>
      </c>
    </row>
    <row r="82" spans="4:46" ht="14.1" hidden="1" customHeight="1">
      <c r="U82" s="454" t="str">
        <f t="shared" si="2"/>
        <v xml:space="preserve"> </v>
      </c>
      <c r="W82" s="451" t="s">
        <v>12</v>
      </c>
      <c r="X82" s="451" t="s">
        <v>12</v>
      </c>
      <c r="Y82" s="451" t="s">
        <v>12</v>
      </c>
      <c r="Z82" s="451" t="s">
        <v>12</v>
      </c>
      <c r="AA82" s="245" t="s">
        <v>750</v>
      </c>
      <c r="AB82" s="245" t="s">
        <v>749</v>
      </c>
    </row>
    <row r="83" spans="4:46" ht="14.1" hidden="1" customHeight="1">
      <c r="D83" s="461"/>
      <c r="E83" s="461"/>
      <c r="F83" s="461"/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  <c r="T83" s="461"/>
      <c r="U83" s="454" t="str">
        <f t="shared" si="2"/>
        <v xml:space="preserve"> </v>
      </c>
      <c r="W83" s="451" t="s">
        <v>12</v>
      </c>
      <c r="X83" s="451" t="s">
        <v>12</v>
      </c>
      <c r="Y83" s="451" t="s">
        <v>12</v>
      </c>
      <c r="Z83" s="451" t="s">
        <v>12</v>
      </c>
      <c r="AA83" s="245" t="s">
        <v>751</v>
      </c>
      <c r="AB83" s="245" t="s">
        <v>750</v>
      </c>
    </row>
    <row r="84" spans="4:46" ht="14.1" hidden="1" customHeight="1">
      <c r="D84" s="461"/>
      <c r="E84" s="461"/>
      <c r="F84" s="461"/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  <c r="T84" s="461"/>
      <c r="U84" s="454" t="str">
        <f t="shared" si="2"/>
        <v xml:space="preserve"> </v>
      </c>
      <c r="W84" s="451" t="s">
        <v>12</v>
      </c>
      <c r="X84" s="451" t="s">
        <v>12</v>
      </c>
      <c r="Y84" s="451" t="s">
        <v>12</v>
      </c>
      <c r="Z84" s="451" t="s">
        <v>12</v>
      </c>
      <c r="AA84" s="245" t="s">
        <v>12</v>
      </c>
      <c r="AB84" s="245" t="s">
        <v>751</v>
      </c>
    </row>
    <row r="85" spans="4:46" ht="14.1" hidden="1" customHeight="1">
      <c r="D85" s="461"/>
      <c r="E85" s="461"/>
      <c r="F85" s="461"/>
      <c r="G85" s="461"/>
      <c r="H85" s="461"/>
      <c r="I85" s="461"/>
      <c r="J85" s="461"/>
      <c r="K85" s="461"/>
      <c r="L85" s="461"/>
      <c r="M85" s="461"/>
      <c r="N85" s="461"/>
      <c r="O85" s="461"/>
      <c r="P85" s="461"/>
      <c r="Q85" s="461"/>
      <c r="R85" s="461"/>
      <c r="S85" s="461"/>
      <c r="T85" s="461"/>
      <c r="U85" s="454" t="str">
        <f t="shared" si="2"/>
        <v xml:space="preserve"> </v>
      </c>
      <c r="W85" s="451" t="s">
        <v>12</v>
      </c>
      <c r="X85" s="451" t="s">
        <v>12</v>
      </c>
      <c r="Y85" s="451" t="s">
        <v>12</v>
      </c>
      <c r="Z85" s="451" t="s">
        <v>12</v>
      </c>
      <c r="AA85" s="245" t="s">
        <v>12</v>
      </c>
      <c r="AB85" s="245" t="s">
        <v>752</v>
      </c>
    </row>
    <row r="86" spans="4:46" ht="14.1" hidden="1" customHeight="1">
      <c r="D86" s="461"/>
      <c r="E86" s="461"/>
      <c r="F86" s="461"/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1"/>
      <c r="R86" s="461"/>
      <c r="S86" s="461"/>
      <c r="T86" s="461"/>
      <c r="U86" s="454" t="s">
        <v>848</v>
      </c>
      <c r="W86" s="451"/>
      <c r="X86" s="451"/>
      <c r="Y86" s="451"/>
      <c r="Z86" s="451"/>
    </row>
    <row r="87" spans="4:46" ht="14.1" hidden="1" customHeight="1">
      <c r="W87" s="451"/>
      <c r="X87" s="451"/>
      <c r="Y87" s="451"/>
      <c r="Z87" s="451"/>
    </row>
    <row r="88" spans="4:46" ht="14.1" hidden="1" customHeight="1">
      <c r="AQ88" s="451"/>
      <c r="AR88" s="451"/>
      <c r="AS88" s="451"/>
      <c r="AT88" s="451"/>
    </row>
    <row r="89" spans="4:46" ht="14.1" hidden="1" customHeight="1">
      <c r="AQ89" s="451"/>
      <c r="AR89" s="451"/>
      <c r="AS89" s="451"/>
      <c r="AT89" s="451"/>
    </row>
    <row r="90" spans="4:46" ht="14.1" hidden="1" customHeight="1"/>
    <row r="91" spans="4:46" ht="14.1" hidden="1" customHeight="1"/>
    <row r="92" spans="4:46" ht="14.1" hidden="1" customHeight="1"/>
    <row r="93" spans="4:46" ht="14.1" hidden="1" customHeight="1"/>
    <row r="94" spans="4:46" ht="14.1" hidden="1" customHeight="1"/>
    <row r="95" spans="4:46" ht="14.1" hidden="1" customHeight="1"/>
    <row r="96" spans="4:46" ht="14.1" hidden="1" customHeight="1"/>
    <row r="97" ht="14.1" hidden="1" customHeight="1"/>
    <row r="98" ht="14.1" hidden="1" customHeight="1"/>
    <row r="99" ht="14.1" hidden="1" customHeight="1"/>
    <row r="100" ht="14.1" hidden="1" customHeight="1"/>
    <row r="101" ht="14.1" hidden="1" customHeight="1"/>
    <row r="102" ht="14.1" hidden="1" customHeight="1"/>
    <row r="103" ht="14.1" hidden="1" customHeight="1"/>
    <row r="104" ht="14.1" hidden="1" customHeight="1"/>
    <row r="105" ht="14.1" hidden="1" customHeight="1"/>
    <row r="106" ht="14.1" hidden="1" customHeight="1"/>
    <row r="107" ht="14.1" hidden="1" customHeight="1"/>
    <row r="108" ht="14.1" hidden="1" customHeight="1"/>
    <row r="109" ht="14.1" hidden="1" customHeight="1"/>
    <row r="110" ht="14.1" hidden="1" customHeight="1"/>
    <row r="111" ht="14.1" hidden="1" customHeight="1"/>
    <row r="112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2" hidden="1" customHeight="1"/>
    <row r="202" ht="12" hidden="1" customHeight="1"/>
    <row r="203" ht="12" hidden="1" customHeight="1"/>
    <row r="204" ht="12" hidden="1" customHeight="1"/>
    <row r="205" ht="12" hidden="1" customHeight="1"/>
    <row r="206" ht="12" hidden="1" customHeight="1"/>
    <row r="207" ht="12" hidden="1" customHeight="1"/>
    <row r="208" ht="12" hidden="1" customHeight="1"/>
    <row r="209" ht="12" hidden="1" customHeight="1"/>
    <row r="210" ht="12" hidden="1" customHeight="1"/>
    <row r="211" ht="12" hidden="1" customHeight="1"/>
    <row r="212" ht="12" hidden="1" customHeight="1"/>
    <row r="213" ht="12" hidden="1" customHeight="1"/>
    <row r="214" ht="12" hidden="1" customHeight="1"/>
    <row r="215" ht="12" hidden="1" customHeight="1"/>
    <row r="216" ht="12" hidden="1" customHeight="1"/>
    <row r="217" ht="12" hidden="1" customHeight="1"/>
    <row r="218" ht="12" hidden="1" customHeight="1"/>
    <row r="219" ht="12" hidden="1" customHeight="1"/>
    <row r="220" ht="12" hidden="1" customHeight="1"/>
    <row r="221" ht="12" hidden="1" customHeight="1"/>
    <row r="222" ht="12" hidden="1" customHeight="1"/>
    <row r="223" ht="12" hidden="1" customHeight="1"/>
    <row r="224" ht="12" hidden="1" customHeight="1"/>
    <row r="225" ht="12" hidden="1" customHeight="1"/>
    <row r="226" ht="12" hidden="1" customHeight="1"/>
    <row r="227" ht="12" hidden="1" customHeight="1"/>
    <row r="228" ht="12" hidden="1" customHeight="1"/>
    <row r="229" ht="12" hidden="1" customHeight="1"/>
    <row r="230" ht="12" hidden="1" customHeight="1"/>
    <row r="231" ht="12" hidden="1" customHeight="1"/>
    <row r="232" ht="12" hidden="1" customHeight="1"/>
    <row r="233" ht="12" hidden="1" customHeight="1"/>
    <row r="234" ht="12" hidden="1" customHeight="1"/>
    <row r="235" ht="12" hidden="1" customHeight="1"/>
    <row r="236" ht="12" hidden="1" customHeight="1"/>
    <row r="237" ht="12" hidden="1" customHeight="1"/>
    <row r="238" ht="12" hidden="1" customHeight="1"/>
    <row r="239" ht="12" hidden="1" customHeight="1"/>
    <row r="240" ht="12" hidden="1" customHeight="1"/>
    <row r="241" ht="12" hidden="1" customHeight="1"/>
    <row r="242" ht="12" hidden="1" customHeight="1"/>
    <row r="243" ht="12" hidden="1" customHeight="1"/>
    <row r="244" ht="12" hidden="1" customHeight="1"/>
    <row r="245" ht="12" hidden="1" customHeight="1"/>
    <row r="246" ht="12" hidden="1" customHeight="1"/>
    <row r="247" ht="12" hidden="1" customHeight="1"/>
    <row r="248" ht="12" hidden="1" customHeight="1"/>
    <row r="249" ht="12" hidden="1" customHeight="1"/>
    <row r="250" ht="12" hidden="1" customHeight="1"/>
    <row r="251" ht="12" hidden="1" customHeight="1"/>
    <row r="252" ht="12" hidden="1" customHeight="1"/>
    <row r="253" ht="12" hidden="1" customHeight="1"/>
    <row r="254" ht="12" hidden="1" customHeight="1"/>
    <row r="255" ht="12" hidden="1" customHeight="1"/>
    <row r="256" ht="12" hidden="1" customHeight="1"/>
    <row r="257" ht="12" hidden="1" customHeight="1"/>
    <row r="258" ht="12" hidden="1" customHeight="1"/>
    <row r="259" ht="12" hidden="1" customHeight="1"/>
    <row r="260" ht="12" hidden="1" customHeight="1"/>
    <row r="261" ht="12" hidden="1" customHeight="1"/>
    <row r="262" ht="12" hidden="1" customHeight="1"/>
    <row r="263" ht="12" hidden="1" customHeight="1"/>
    <row r="264" ht="12" hidden="1" customHeight="1"/>
    <row r="265" ht="12" hidden="1" customHeight="1"/>
    <row r="266" ht="12" hidden="1" customHeight="1"/>
    <row r="267" ht="12" hidden="1" customHeight="1"/>
    <row r="268" ht="12" hidden="1" customHeight="1"/>
    <row r="269" ht="12" hidden="1" customHeight="1"/>
    <row r="270" ht="12" hidden="1" customHeight="1"/>
    <row r="271" ht="12" hidden="1" customHeight="1"/>
    <row r="272" ht="12" hidden="1" customHeight="1"/>
    <row r="273" ht="12" hidden="1" customHeight="1"/>
    <row r="274" ht="12" hidden="1" customHeight="1"/>
    <row r="275" ht="12" hidden="1" customHeight="1"/>
    <row r="276" ht="12" hidden="1" customHeight="1"/>
    <row r="277" ht="12" hidden="1" customHeight="1"/>
    <row r="278" ht="12" hidden="1" customHeight="1"/>
    <row r="279" ht="12" hidden="1" customHeight="1"/>
    <row r="280" ht="12" hidden="1" customHeight="1"/>
    <row r="281" ht="12" hidden="1" customHeight="1"/>
    <row r="282" ht="12" hidden="1" customHeight="1"/>
    <row r="283" ht="12" hidden="1" customHeight="1"/>
    <row r="284" ht="12" hidden="1" customHeight="1"/>
    <row r="285" ht="12" hidden="1" customHeight="1"/>
    <row r="286" ht="12" hidden="1" customHeight="1"/>
    <row r="287" ht="12" hidden="1" customHeight="1"/>
    <row r="288" ht="12" hidden="1" customHeight="1"/>
    <row r="289" ht="12" hidden="1" customHeight="1"/>
    <row r="290" ht="12" hidden="1" customHeight="1"/>
    <row r="291" ht="12" hidden="1" customHeight="1"/>
    <row r="292" ht="12" hidden="1" customHeight="1"/>
    <row r="293" ht="12" hidden="1" customHeight="1"/>
    <row r="294" ht="12" hidden="1" customHeight="1"/>
    <row r="295" ht="12" hidden="1" customHeight="1"/>
    <row r="296" ht="12" hidden="1" customHeight="1"/>
    <row r="297" ht="12" hidden="1" customHeight="1"/>
    <row r="298" ht="12" hidden="1" customHeight="1"/>
    <row r="299" ht="12" hidden="1" customHeight="1"/>
    <row r="300" ht="12" hidden="1" customHeight="1"/>
    <row r="301" ht="12" hidden="1" customHeight="1"/>
    <row r="302" ht="12" hidden="1" customHeight="1"/>
    <row r="303" ht="12" hidden="1" customHeight="1"/>
    <row r="304" ht="12" hidden="1" customHeight="1"/>
    <row r="305" ht="12" hidden="1" customHeight="1"/>
    <row r="306" ht="12" hidden="1" customHeight="1"/>
    <row r="307" ht="12" hidden="1" customHeight="1"/>
    <row r="308" ht="12" hidden="1" customHeight="1"/>
    <row r="309" ht="12" hidden="1" customHeight="1"/>
    <row r="310" ht="12" hidden="1" customHeight="1"/>
    <row r="311" ht="12" hidden="1" customHeight="1"/>
    <row r="312" ht="12" hidden="1" customHeight="1"/>
    <row r="313" ht="12" hidden="1" customHeight="1"/>
    <row r="314" ht="12" hidden="1" customHeight="1"/>
    <row r="315" ht="12" hidden="1" customHeight="1"/>
    <row r="316" ht="12" hidden="1" customHeight="1"/>
    <row r="317" ht="12" hidden="1" customHeight="1"/>
    <row r="318" ht="12" hidden="1" customHeight="1"/>
    <row r="319" ht="12" hidden="1" customHeight="1"/>
    <row r="320" ht="12" hidden="1" customHeight="1"/>
    <row r="321" ht="12" hidden="1" customHeight="1"/>
    <row r="322" ht="12" hidden="1" customHeight="1"/>
    <row r="323" ht="12" hidden="1" customHeight="1"/>
    <row r="324" ht="12" hidden="1" customHeight="1"/>
    <row r="325" ht="12" hidden="1" customHeight="1"/>
    <row r="326" ht="12" hidden="1" customHeight="1"/>
    <row r="327" ht="12" hidden="1" customHeight="1"/>
    <row r="328" ht="12" hidden="1" customHeight="1"/>
    <row r="329" ht="12" hidden="1" customHeight="1"/>
    <row r="330" ht="12" hidden="1" customHeight="1"/>
    <row r="331" ht="12" hidden="1" customHeight="1"/>
    <row r="332" ht="12" hidden="1" customHeight="1"/>
    <row r="333" ht="12" hidden="1" customHeight="1"/>
    <row r="334" ht="12" hidden="1" customHeight="1"/>
    <row r="335" ht="12" hidden="1" customHeight="1"/>
    <row r="336" ht="12" hidden="1" customHeight="1"/>
    <row r="337" ht="12" hidden="1" customHeight="1"/>
    <row r="338" ht="12" hidden="1" customHeight="1"/>
    <row r="339" ht="12" hidden="1" customHeight="1"/>
    <row r="340" ht="12" hidden="1" customHeight="1"/>
    <row r="341" ht="12" hidden="1" customHeight="1"/>
    <row r="342" ht="12" hidden="1" customHeight="1"/>
    <row r="343" ht="12" hidden="1" customHeight="1"/>
    <row r="344" ht="12" hidden="1" customHeight="1"/>
    <row r="345" ht="12" hidden="1" customHeight="1"/>
    <row r="346" ht="12" hidden="1" customHeight="1"/>
    <row r="347" ht="12" hidden="1" customHeight="1"/>
    <row r="348" ht="12" hidden="1" customHeight="1"/>
    <row r="349" ht="12" hidden="1" customHeight="1"/>
    <row r="350" ht="12" hidden="1" customHeight="1"/>
    <row r="351" ht="12" hidden="1" customHeight="1"/>
    <row r="352" ht="12" hidden="1" customHeight="1"/>
    <row r="353" ht="12" hidden="1" customHeight="1"/>
    <row r="354" ht="12" hidden="1" customHeight="1"/>
    <row r="355" ht="12" hidden="1" customHeight="1"/>
    <row r="356" ht="12" hidden="1" customHeight="1"/>
    <row r="357" ht="12" hidden="1" customHeight="1"/>
    <row r="358" ht="12" hidden="1" customHeight="1"/>
    <row r="359" ht="12" hidden="1" customHeight="1"/>
    <row r="360" ht="12" hidden="1" customHeight="1"/>
    <row r="361" ht="12" hidden="1" customHeight="1"/>
    <row r="362" ht="12" hidden="1" customHeight="1"/>
    <row r="363" ht="12" hidden="1" customHeight="1"/>
    <row r="364" ht="12" hidden="1" customHeight="1"/>
    <row r="365" ht="12" hidden="1" customHeight="1"/>
    <row r="366" ht="12" hidden="1" customHeight="1"/>
    <row r="367" ht="12" hidden="1" customHeight="1"/>
    <row r="368" ht="12" hidden="1" customHeight="1"/>
    <row r="369" ht="12" hidden="1" customHeight="1"/>
    <row r="370" ht="12" hidden="1" customHeight="1"/>
    <row r="371" ht="12" hidden="1" customHeight="1"/>
    <row r="372" ht="12" hidden="1" customHeight="1"/>
    <row r="373" ht="12" hidden="1" customHeight="1"/>
    <row r="374" ht="12" hidden="1" customHeight="1"/>
    <row r="375" ht="12" hidden="1" customHeight="1"/>
    <row r="376" ht="12" hidden="1" customHeight="1"/>
    <row r="377" ht="12" hidden="1" customHeight="1"/>
    <row r="378" ht="12" hidden="1" customHeight="1"/>
    <row r="379" ht="12" hidden="1" customHeight="1"/>
    <row r="380" ht="12" hidden="1" customHeight="1"/>
    <row r="381" ht="12" hidden="1" customHeight="1"/>
    <row r="382" ht="12" hidden="1" customHeight="1"/>
    <row r="383" ht="12" hidden="1" customHeight="1"/>
    <row r="384" ht="12" hidden="1" customHeight="1"/>
    <row r="385" ht="12" hidden="1" customHeight="1"/>
    <row r="386" ht="12" hidden="1" customHeight="1"/>
    <row r="387" ht="12" hidden="1" customHeight="1"/>
    <row r="388" ht="12" hidden="1" customHeight="1"/>
    <row r="389" ht="12" hidden="1" customHeight="1"/>
    <row r="390" ht="12" hidden="1" customHeight="1"/>
    <row r="391" ht="12" hidden="1" customHeight="1"/>
    <row r="392" ht="12" hidden="1" customHeight="1"/>
    <row r="393" ht="12" hidden="1" customHeight="1"/>
    <row r="394" ht="12" hidden="1" customHeight="1"/>
    <row r="395" ht="12" hidden="1" customHeight="1"/>
    <row r="396" ht="12" hidden="1" customHeight="1"/>
    <row r="397" ht="12" hidden="1" customHeight="1"/>
    <row r="398" ht="12" hidden="1" customHeight="1"/>
    <row r="399" ht="12" hidden="1" customHeight="1"/>
    <row r="400" ht="12" hidden="1" customHeight="1"/>
    <row r="401" ht="12" hidden="1" customHeight="1"/>
    <row r="402" ht="12" hidden="1" customHeight="1"/>
    <row r="403" ht="12" hidden="1" customHeight="1"/>
    <row r="404" ht="12" hidden="1" customHeight="1"/>
    <row r="405" ht="12" hidden="1" customHeight="1"/>
    <row r="406" ht="12" hidden="1" customHeight="1"/>
    <row r="407" ht="12" hidden="1" customHeight="1"/>
    <row r="408" ht="12" hidden="1" customHeight="1"/>
    <row r="409" ht="12" hidden="1" customHeight="1"/>
    <row r="410" ht="12" hidden="1" customHeight="1"/>
    <row r="411" ht="12" hidden="1" customHeight="1"/>
    <row r="412" ht="12" hidden="1" customHeight="1"/>
    <row r="413" ht="12" hidden="1" customHeight="1"/>
    <row r="414" ht="12" hidden="1" customHeight="1"/>
    <row r="415" ht="12" hidden="1" customHeight="1"/>
    <row r="416" ht="12" hidden="1" customHeight="1"/>
    <row r="417" ht="12" hidden="1" customHeight="1"/>
    <row r="418" ht="12" hidden="1" customHeight="1"/>
    <row r="419" ht="12" hidden="1" customHeight="1"/>
    <row r="420" ht="12" hidden="1" customHeight="1"/>
  </sheetData>
  <sheetProtection password="DC0A" sheet="1" objects="1" scenarios="1"/>
  <phoneticPr fontId="0" type="noConversion"/>
  <conditionalFormatting sqref="R2:R63 D2:D5 G30:I59 D7:D19 B2:B63 J30:K63 C2:C19 F30:F60 Q2:Q29 K23 C30:D60 C61:I63 P30:Q63 P2 E30:E63 C20:E23 L30:O52 H23 M59:O63 L61:L63 N2:N23 O2:O3 E2:K19 L2:M18">
    <cfRule type="expression" dxfId="76" priority="1" stopIfTrue="1">
      <formula>IF($T$5&gt;0,TRUE,FALSE)</formula>
    </cfRule>
  </conditionalFormatting>
  <conditionalFormatting sqref="D6">
    <cfRule type="expression" dxfId="75" priority="2" stopIfTrue="1">
      <formula>IF($T$5&gt;0,TRUE,FALSE)</formula>
    </cfRule>
  </conditionalFormatting>
  <conditionalFormatting sqref="O6:P21 O23:P23">
    <cfRule type="expression" dxfId="74" priority="3" stopIfTrue="1">
      <formula>IF($T$5&gt;0,TRUE,FALSE)</formula>
    </cfRule>
    <cfRule type="expression" dxfId="73" priority="4" stopIfTrue="1">
      <formula>IF($V$10&lt;&gt;"AUTO",TRUE,FALSE)</formula>
    </cfRule>
  </conditionalFormatting>
  <conditionalFormatting sqref="I23:J23">
    <cfRule type="expression" dxfId="72" priority="5" stopIfTrue="1">
      <formula>IF($T$5&gt;0,TRUE,FALSE)</formula>
    </cfRule>
    <cfRule type="expression" dxfId="71" priority="6" stopIfTrue="1">
      <formula>IF($I23=0,TRUE,FALSE)</formula>
    </cfRule>
  </conditionalFormatting>
  <conditionalFormatting sqref="F23:G23">
    <cfRule type="expression" dxfId="70" priority="7" stopIfTrue="1">
      <formula>IF($T$5&gt;0,TRUE,FALSE)</formula>
    </cfRule>
    <cfRule type="expression" dxfId="69" priority="8" stopIfTrue="1">
      <formula>IF($F23=0,TRUE,FALSE)</formula>
    </cfRule>
  </conditionalFormatting>
  <conditionalFormatting sqref="L53:L60">
    <cfRule type="expression" dxfId="68" priority="9" stopIfTrue="1">
      <formula>IF($T$5&gt;0,TRUE,FALSE)</formula>
    </cfRule>
  </conditionalFormatting>
  <conditionalFormatting sqref="O24:P26 N24:N29 D24:E29 C24:C25 C27:C29">
    <cfRule type="expression" dxfId="67" priority="10" stopIfTrue="1">
      <formula>IF($T$5&gt;0,TRUE,FALSE)</formula>
    </cfRule>
  </conditionalFormatting>
  <conditionalFormatting sqref="K24:K29 H24:H29 H20:H22 K20:K22">
    <cfRule type="expression" dxfId="66" priority="11" stopIfTrue="1">
      <formula>IF($T$5&gt;0,TRUE,FALSE)</formula>
    </cfRule>
    <cfRule type="expression" dxfId="65" priority="12" stopIfTrue="1">
      <formula>IF(H20=0,TRUE,FALSE)</formula>
    </cfRule>
  </conditionalFormatting>
  <conditionalFormatting sqref="O4:P5 O22:P22">
    <cfRule type="expression" dxfId="64" priority="13" stopIfTrue="1">
      <formula>IF($T$5&gt;0,TRUE,FALSE)</formula>
    </cfRule>
    <cfRule type="expression" dxfId="63" priority="14" stopIfTrue="1">
      <formula>IF($V$10&lt;&gt;"AUTO",TRUE,FALSE)</formula>
    </cfRule>
  </conditionalFormatting>
  <conditionalFormatting sqref="O27">
    <cfRule type="expression" dxfId="62" priority="15" stopIfTrue="1">
      <formula>IF($T$5&gt;0,TRUE,IF(V10="FULL",TRUE,FALSE))</formula>
    </cfRule>
    <cfRule type="expression" dxfId="61" priority="16" stopIfTrue="1">
      <formula>IF($V$10&lt;&gt;"AUTO",TRUE,FALSE)</formula>
    </cfRule>
  </conditionalFormatting>
  <conditionalFormatting sqref="P27">
    <cfRule type="expression" dxfId="60" priority="17" stopIfTrue="1">
      <formula>IF($T$5&gt;0,TRUE,IF(V10="FULL",TRUE,FALSE))</formula>
    </cfRule>
    <cfRule type="expression" dxfId="59" priority="18" stopIfTrue="1">
      <formula>IF($V$10&lt;&gt;"AUTO",TRUE,FALSE)</formula>
    </cfRule>
  </conditionalFormatting>
  <conditionalFormatting sqref="O29">
    <cfRule type="expression" dxfId="58" priority="19" stopIfTrue="1">
      <formula>IF($T$5&gt;0,TRUE,IF(V10="FULL",TRUE,FALSE))</formula>
    </cfRule>
    <cfRule type="expression" dxfId="57" priority="20" stopIfTrue="1">
      <formula>IF($V$10&lt;&gt;"AUTO",TRUE,FALSE)</formula>
    </cfRule>
  </conditionalFormatting>
  <conditionalFormatting sqref="P29">
    <cfRule type="expression" dxfId="56" priority="21" stopIfTrue="1">
      <formula>IF($T$5&gt;0,TRUE,IF(V10="FULL",TRUE,FALSE))</formula>
    </cfRule>
    <cfRule type="expression" dxfId="55" priority="22" stopIfTrue="1">
      <formula>IF($V$10&lt;&gt;"AUTO",TRUE,FALSE)</formula>
    </cfRule>
  </conditionalFormatting>
  <conditionalFormatting sqref="P3">
    <cfRule type="expression" dxfId="54" priority="23" stopIfTrue="1">
      <formula>IF($T$5&gt;0,TRUE,FALSE)</formula>
    </cfRule>
  </conditionalFormatting>
  <conditionalFormatting sqref="O28:P28 C26">
    <cfRule type="expression" dxfId="53" priority="24" stopIfTrue="1">
      <formula>IF($T$5&gt;0,TRUE,FALSE)</formula>
    </cfRule>
  </conditionalFormatting>
  <conditionalFormatting sqref="F21:G22 F25:G29">
    <cfRule type="expression" dxfId="52" priority="25" stopIfTrue="1">
      <formula>IF($T$5&gt;0,TRUE,FALSE)</formula>
    </cfRule>
  </conditionalFormatting>
  <conditionalFormatting sqref="F20">
    <cfRule type="expression" dxfId="51" priority="26" stopIfTrue="1">
      <formula>IF($T$5&gt;0,TRUE,FALSE)</formula>
    </cfRule>
    <cfRule type="expression" dxfId="50" priority="27" stopIfTrue="1">
      <formula>IF(V6=1,TRUE,FALSE)</formula>
    </cfRule>
  </conditionalFormatting>
  <conditionalFormatting sqref="G20">
    <cfRule type="expression" dxfId="49" priority="28" stopIfTrue="1">
      <formula>IF($T$5&gt;0,TRUE,FALSE)</formula>
    </cfRule>
    <cfRule type="expression" dxfId="48" priority="29" stopIfTrue="1">
      <formula>IF(V6=1,TRUE,FALSE)</formula>
    </cfRule>
  </conditionalFormatting>
  <conditionalFormatting sqref="F24">
    <cfRule type="expression" dxfId="47" priority="30" stopIfTrue="1">
      <formula>IF($T$5&gt;0,TRUE,FALSE)</formula>
    </cfRule>
    <cfRule type="expression" dxfId="46" priority="31" stopIfTrue="1">
      <formula>IF(V6=1,TRUE,FALSE)</formula>
    </cfRule>
  </conditionalFormatting>
  <conditionalFormatting sqref="G24">
    <cfRule type="expression" dxfId="45" priority="32" stopIfTrue="1">
      <formula>IF($T$5&gt;0,TRUE,FALSE)</formula>
    </cfRule>
    <cfRule type="expression" dxfId="44" priority="33" stopIfTrue="1">
      <formula>IF(V6=1,TRUE,FALSE)</formula>
    </cfRule>
  </conditionalFormatting>
  <conditionalFormatting sqref="I20">
    <cfRule type="expression" dxfId="43" priority="34" stopIfTrue="1">
      <formula>IF($T$5&gt;0,TRUE,IF(AND(V6=1,V15=1,V2="3D"),TRUE,IF(AND(V6=1,V15="3D"),TRUE,FALSE)))</formula>
    </cfRule>
    <cfRule type="expression" dxfId="42" priority="35" stopIfTrue="1">
      <formula>IF(V6=1,TRUE,FALSE)</formula>
    </cfRule>
  </conditionalFormatting>
  <conditionalFormatting sqref="J20">
    <cfRule type="expression" dxfId="41" priority="36" stopIfTrue="1">
      <formula>IF($T$5&gt;0,TRUE,IF(AND(V6=1,V15=1,V2="3D"),TRUE,IF(AND(V6=1,V15="3D"),TRUE,FALSE)))</formula>
    </cfRule>
    <cfRule type="expression" dxfId="40" priority="37" stopIfTrue="1">
      <formula>IF(V6=1,TRUE,FALSE)</formula>
    </cfRule>
  </conditionalFormatting>
  <conditionalFormatting sqref="I21">
    <cfRule type="expression" dxfId="39" priority="38" stopIfTrue="1">
      <formula>IF($T$5&gt;0,TRUE,IF(AND(V6=1,V15=1,V2="3D"),TRUE,IF(AND(V6=1,V15="3D"),TRUE,FALSE)))</formula>
    </cfRule>
  </conditionalFormatting>
  <conditionalFormatting sqref="J21">
    <cfRule type="expression" dxfId="38" priority="39" stopIfTrue="1">
      <formula>IF($T$5&gt;0,TRUE,IF(AND(V6=1,V15=1,V2="3D"),TRUE,IF(AND(V6=1,V15="3D"),TRUE,FALSE)))</formula>
    </cfRule>
  </conditionalFormatting>
  <conditionalFormatting sqref="I22">
    <cfRule type="expression" dxfId="37" priority="40" stopIfTrue="1">
      <formula>IF($T$5&gt;0,TRUE,IF(AND(V6=1,V15=1,V2="3D"),TRUE,IF(AND(V6=1,V15="3D"),TRUE,FALSE)))</formula>
    </cfRule>
  </conditionalFormatting>
  <conditionalFormatting sqref="J22">
    <cfRule type="expression" dxfId="36" priority="41" stopIfTrue="1">
      <formula>IF($T$5&gt;0,TRUE,IF(AND(V6=1,V15=1,V2="3D"),TRUE,IF(AND(V6=1,V15="3D"),TRUE,FALSE)))</formula>
    </cfRule>
  </conditionalFormatting>
  <conditionalFormatting sqref="I25">
    <cfRule type="expression" dxfId="35" priority="42" stopIfTrue="1">
      <formula>IF($T$5&gt;0,TRUE,IF(AND(V6=1,V15=1,V2="3D"),TRUE,IF(AND(V6=1,V15="3D"),TRUE,FALSE)))</formula>
    </cfRule>
  </conditionalFormatting>
  <conditionalFormatting sqref="J25">
    <cfRule type="expression" dxfId="34" priority="43" stopIfTrue="1">
      <formula>IF($T$5&gt;0,TRUE,IF(AND(V6=1,V15=1,V2="3D"),TRUE,IF(AND(V6=1,V15="3D"),TRUE,FALSE)))</formula>
    </cfRule>
  </conditionalFormatting>
  <conditionalFormatting sqref="I26">
    <cfRule type="expression" dxfId="33" priority="44" stopIfTrue="1">
      <formula>IF($T$5&gt;0,TRUE,IF(AND(V6=1,V15=1,V2="3D"),TRUE,IF(AND(V6=1,V15="3D"),TRUE,FALSE)))</formula>
    </cfRule>
  </conditionalFormatting>
  <conditionalFormatting sqref="J26">
    <cfRule type="expression" dxfId="32" priority="45" stopIfTrue="1">
      <formula>IF($T$5&gt;0,TRUE,IF(AND(V6=1,V15=1,V2="3D"),TRUE,IF(AND(V6=1,V15="3D"),TRUE,FALSE)))</formula>
    </cfRule>
  </conditionalFormatting>
  <conditionalFormatting sqref="I27">
    <cfRule type="expression" dxfId="31" priority="46" stopIfTrue="1">
      <formula>IF($T$5&gt;0,TRUE,IF(AND(V6=1,V15=1,V2="3D"),TRUE,IF(AND(V6=1,V15="3D"),TRUE,FALSE)))</formula>
    </cfRule>
  </conditionalFormatting>
  <conditionalFormatting sqref="J27">
    <cfRule type="expression" dxfId="30" priority="47" stopIfTrue="1">
      <formula>IF($T$5&gt;0,TRUE,IF(AND(V6=1,V15=1,V2="3D"),TRUE,IF(AND(V6=1,V15="3D"),TRUE,FALSE)))</formula>
    </cfRule>
  </conditionalFormatting>
  <conditionalFormatting sqref="I28">
    <cfRule type="expression" dxfId="29" priority="48" stopIfTrue="1">
      <formula>IF($T$5&gt;0,TRUE,IF(AND(V6=1,V15=1,V2="3D"),TRUE,IF(AND(V6=1,V15="3D"),TRUE,FALSE)))</formula>
    </cfRule>
  </conditionalFormatting>
  <conditionalFormatting sqref="J28">
    <cfRule type="expression" dxfId="28" priority="49" stopIfTrue="1">
      <formula>IF($T$5&gt;0,TRUE,IF(AND(V6=1,V15=1,V2="3D"),TRUE,IF(AND(V6=1,V15="3D"),TRUE,FALSE)))</formula>
    </cfRule>
  </conditionalFormatting>
  <conditionalFormatting sqref="I29">
    <cfRule type="expression" dxfId="27" priority="50" stopIfTrue="1">
      <formula>IF($T$5&gt;0,TRUE,IF(AND(V6=1,V15=1,V2="3D"),TRUE,IF(AND(V6=1,V15="3D"),TRUE,FALSE)))</formula>
    </cfRule>
  </conditionalFormatting>
  <conditionalFormatting sqref="J29">
    <cfRule type="expression" dxfId="26" priority="51" stopIfTrue="1">
      <formula>IF($T$5&gt;0,TRUE,IF(AND(V6=1,V15=1,V2="3D"),TRUE,IF(AND(V6=1,V15="3D"),TRUE,FALSE)))</formula>
    </cfRule>
  </conditionalFormatting>
  <conditionalFormatting sqref="I24">
    <cfRule type="expression" dxfId="25" priority="52" stopIfTrue="1">
      <formula>IF($T$5&gt;0,TRUE,FALSE)</formula>
    </cfRule>
    <cfRule type="expression" dxfId="24" priority="53" stopIfTrue="1">
      <formula>IF(V6=1,TRUE,FALSE)</formula>
    </cfRule>
  </conditionalFormatting>
  <conditionalFormatting sqref="J24">
    <cfRule type="expression" dxfId="23" priority="54" stopIfTrue="1">
      <formula>IF($T$5&gt;0,TRUE,FALSE)</formula>
    </cfRule>
    <cfRule type="expression" dxfId="22" priority="55" stopIfTrue="1">
      <formula>IF(V6=1,TRUE,FALSE)</formula>
    </cfRule>
  </conditionalFormatting>
  <conditionalFormatting sqref="M20">
    <cfRule type="expression" dxfId="21" priority="56" stopIfTrue="1">
      <formula>IF($T$5&gt;0,TRUE,FALSE)</formula>
    </cfRule>
    <cfRule type="expression" dxfId="20" priority="57" stopIfTrue="1">
      <formula>IF(V6=1,TRUE,FALSE)</formula>
    </cfRule>
  </conditionalFormatting>
  <conditionalFormatting sqref="L20">
    <cfRule type="expression" dxfId="19" priority="58" stopIfTrue="1">
      <formula>IF($T$5&gt;0,TRUE,FALSE)</formula>
    </cfRule>
    <cfRule type="expression" dxfId="18" priority="59" stopIfTrue="1">
      <formula>IF(V6=1,TRUE,FALSE)</formula>
    </cfRule>
  </conditionalFormatting>
  <conditionalFormatting sqref="L19">
    <cfRule type="expression" dxfId="17" priority="60" stopIfTrue="1">
      <formula>IF($T$5&gt;0,TRUE,FALSE)</formula>
    </cfRule>
    <cfRule type="expression" dxfId="16" priority="61" stopIfTrue="1">
      <formula>IF(V6=1,TRUE,FALSE)</formula>
    </cfRule>
  </conditionalFormatting>
  <conditionalFormatting sqref="M19">
    <cfRule type="expression" dxfId="15" priority="62" stopIfTrue="1">
      <formula>IF($T$5&gt;0,TRUE,FALSE)</formula>
    </cfRule>
    <cfRule type="expression" dxfId="14" priority="63" stopIfTrue="1">
      <formula>IF(V6=1,TRUE,FALSE)</formula>
    </cfRule>
  </conditionalFormatting>
  <conditionalFormatting sqref="L21">
    <cfRule type="expression" dxfId="13" priority="64" stopIfTrue="1">
      <formula>IF($T$5&gt;0,TRUE,FALSE)</formula>
    </cfRule>
    <cfRule type="expression" dxfId="12" priority="65" stopIfTrue="1">
      <formula>IF(V6=1,TRUE,FALSE)</formula>
    </cfRule>
  </conditionalFormatting>
  <conditionalFormatting sqref="M21:M29">
    <cfRule type="expression" dxfId="11" priority="66" stopIfTrue="1">
      <formula>IF($T$5&gt;0,TRUE,FALSE)</formula>
    </cfRule>
    <cfRule type="expression" dxfId="10" priority="67" stopIfTrue="1">
      <formula>IF(V$6=1,TRUE,FALSE)</formula>
    </cfRule>
  </conditionalFormatting>
  <conditionalFormatting sqref="L22:L29">
    <cfRule type="expression" dxfId="9" priority="68" stopIfTrue="1">
      <formula>IF($T$5&gt;0,TRUE,FALSE)</formula>
    </cfRule>
    <cfRule type="expression" dxfId="8" priority="69" stopIfTrue="1">
      <formula>IF(V$6=1,TRUE,FALSE)</formula>
    </cfRule>
  </conditionalFormatting>
  <pageMargins left="0.5" right="0" top="0.5" bottom="0" header="0" footer="0"/>
  <pageSetup scale="85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U100"/>
  <sheetViews>
    <sheetView topLeftCell="Z8" workbookViewId="0">
      <selection activeCell="Z11" sqref="A1:IV65536"/>
    </sheetView>
  </sheetViews>
  <sheetFormatPr defaultColWidth="10.6640625" defaultRowHeight="12.75"/>
  <cols>
    <col min="1" max="23" width="10.6640625" style="193" customWidth="1"/>
    <col min="24" max="26" width="10.6640625" style="1" customWidth="1"/>
    <col min="27" max="27" width="16.5" style="1" customWidth="1"/>
    <col min="28" max="28" width="22" style="24" customWidth="1"/>
    <col min="29" max="29" width="20.33203125" style="1" customWidth="1"/>
    <col min="30" max="30" width="12.5" style="1" customWidth="1"/>
    <col min="31" max="31" width="19.1640625" style="1" customWidth="1"/>
    <col min="32" max="32" width="15.1640625" style="1" customWidth="1"/>
    <col min="33" max="34" width="12.5" style="1" customWidth="1"/>
    <col min="35" max="47" width="10.6640625" style="1" customWidth="1"/>
    <col min="48" max="16384" width="10.6640625" style="193"/>
  </cols>
  <sheetData>
    <row r="1" spans="1:30">
      <c r="A1" s="1"/>
      <c r="B1" s="1"/>
      <c r="C1" s="24" t="s">
        <v>480</v>
      </c>
      <c r="D1" s="22"/>
      <c r="E1" s="194"/>
      <c r="F1" s="22"/>
      <c r="G1" s="22"/>
      <c r="H1" s="22"/>
      <c r="I1" s="429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  <c r="W1" s="1"/>
    </row>
    <row r="2" spans="1:30">
      <c r="A2" s="1"/>
      <c r="B2" s="1"/>
      <c r="C2" s="22"/>
      <c r="D2" s="22"/>
      <c r="E2" s="194"/>
      <c r="F2" s="22"/>
      <c r="G2" s="22"/>
      <c r="H2" s="22">
        <f>IF(Input!O6=" ",0,99)</f>
        <v>99</v>
      </c>
      <c r="I2" s="22"/>
      <c r="J2" s="22"/>
      <c r="K2" s="22"/>
      <c r="L2" s="22"/>
      <c r="M2" s="22"/>
      <c r="N2" s="22"/>
      <c r="O2" s="22"/>
      <c r="P2" s="1"/>
      <c r="Q2" s="1"/>
      <c r="R2" s="1"/>
      <c r="S2" s="1"/>
      <c r="T2" s="1"/>
      <c r="U2" s="1"/>
      <c r="V2" s="1"/>
      <c r="W2" s="1"/>
    </row>
    <row r="3" spans="1:30">
      <c r="A3" s="1"/>
      <c r="B3" s="1"/>
      <c r="C3" s="24"/>
      <c r="D3" s="91" t="s">
        <v>295</v>
      </c>
      <c r="E3" s="194"/>
      <c r="F3" s="24"/>
      <c r="G3" s="24" t="s">
        <v>296</v>
      </c>
      <c r="H3" s="437" t="str">
        <f>Input!O6</f>
        <v>15,304</v>
      </c>
      <c r="I3" s="24" t="s">
        <v>297</v>
      </c>
      <c r="J3" s="431">
        <v>1</v>
      </c>
      <c r="K3" s="22" t="s">
        <v>267</v>
      </c>
      <c r="L3" s="435">
        <f>ROUND('S-Input'!AW82*4,0)</f>
        <v>0</v>
      </c>
      <c r="M3" s="22" t="s">
        <v>268</v>
      </c>
      <c r="N3" s="31">
        <f>((H3*J3)+L3)</f>
        <v>15304</v>
      </c>
      <c r="O3" s="24" t="s">
        <v>298</v>
      </c>
      <c r="P3" s="1"/>
      <c r="Q3" s="1"/>
      <c r="R3" s="1"/>
      <c r="S3" s="1"/>
      <c r="T3" s="1"/>
      <c r="U3" s="1"/>
      <c r="V3" s="1"/>
      <c r="W3" s="1"/>
    </row>
    <row r="4" spans="1:30">
      <c r="A4" s="1"/>
      <c r="B4" s="1"/>
      <c r="C4" s="29"/>
      <c r="D4" s="91" t="s">
        <v>295</v>
      </c>
      <c r="E4" s="196"/>
      <c r="F4" s="27"/>
      <c r="G4" s="24" t="s">
        <v>296</v>
      </c>
      <c r="H4" s="26" t="str">
        <f>TEXT(H3, "#,##0")</f>
        <v>15,304</v>
      </c>
      <c r="I4" s="24" t="s">
        <v>367</v>
      </c>
      <c r="J4" s="26" t="str">
        <f>TEXT(J3, "0.00")</f>
        <v>1.00</v>
      </c>
      <c r="K4" s="22" t="s">
        <v>267</v>
      </c>
      <c r="L4" s="26" t="str">
        <f>TEXT(L3, "#,##0")</f>
        <v>0</v>
      </c>
      <c r="M4" s="22" t="s">
        <v>268</v>
      </c>
      <c r="N4" s="26" t="str">
        <f>TEXT(N3, "#,##0")</f>
        <v>15,304</v>
      </c>
      <c r="O4" s="24" t="s">
        <v>298</v>
      </c>
      <c r="P4" s="1"/>
      <c r="Q4" s="1"/>
      <c r="R4" s="1"/>
      <c r="S4" s="1" t="str">
        <f>CONCATENATE(D4,G4,H4,I4,J4,K4,L4,M4,N4,O4)</f>
        <v>Available Fault Current at Starting Point  (( 15,304 AFC X 1.00 UA ) + 0 MC ) = 15,304 AFC</v>
      </c>
      <c r="T4" s="1"/>
      <c r="U4" s="1"/>
      <c r="V4" s="1"/>
      <c r="W4" s="1"/>
    </row>
    <row r="5" spans="1:30">
      <c r="A5" s="1"/>
      <c r="B5" s="1"/>
      <c r="C5" s="27"/>
      <c r="D5" s="26"/>
      <c r="E5" s="197"/>
      <c r="F5" s="28"/>
      <c r="G5" s="27"/>
      <c r="H5" s="26"/>
      <c r="I5" s="26"/>
      <c r="J5" s="198"/>
      <c r="K5" s="199"/>
      <c r="L5" s="26"/>
      <c r="M5" s="91"/>
      <c r="N5" s="91"/>
      <c r="O5" s="29"/>
      <c r="P5" s="1" t="str">
        <f>CONCATENATE(N4,O4)</f>
        <v>15,304 AFC</v>
      </c>
      <c r="Q5" s="1"/>
      <c r="R5" s="1"/>
      <c r="S5" s="1"/>
      <c r="T5" s="1"/>
      <c r="U5" s="1"/>
      <c r="V5" s="1"/>
      <c r="W5" s="1"/>
    </row>
    <row r="6" spans="1:30">
      <c r="A6" s="1"/>
      <c r="B6" s="221"/>
      <c r="C6" s="379"/>
      <c r="D6" s="221"/>
      <c r="E6" s="197"/>
      <c r="F6" s="26"/>
      <c r="G6" s="27"/>
      <c r="H6" s="26"/>
      <c r="I6" s="26"/>
      <c r="J6" s="198"/>
      <c r="K6" s="199"/>
      <c r="L6" s="26"/>
      <c r="M6" s="91"/>
      <c r="N6" s="91"/>
      <c r="O6" s="29"/>
      <c r="P6" s="1"/>
      <c r="Q6" s="1"/>
      <c r="R6" s="1"/>
      <c r="S6" s="1"/>
      <c r="T6" s="1"/>
      <c r="U6" s="1"/>
      <c r="V6" s="1"/>
      <c r="W6" s="1"/>
    </row>
    <row r="7" spans="1:30">
      <c r="B7" s="221"/>
      <c r="C7" s="380"/>
      <c r="P7" s="193">
        <v>0.75</v>
      </c>
      <c r="Q7" s="222" t="s">
        <v>309</v>
      </c>
    </row>
    <row r="8" spans="1:30">
      <c r="B8" s="221"/>
      <c r="C8" s="379"/>
      <c r="G8" s="27"/>
      <c r="H8" s="221"/>
      <c r="I8" s="224"/>
      <c r="J8" s="221"/>
      <c r="K8" s="221"/>
      <c r="L8" s="221"/>
      <c r="M8" s="221"/>
      <c r="N8" s="221"/>
      <c r="P8" s="193">
        <v>1</v>
      </c>
      <c r="Q8" s="222" t="s">
        <v>310</v>
      </c>
      <c r="AC8" s="1" t="str">
        <f>'S-Input'!H9</f>
        <v>SER</v>
      </c>
    </row>
    <row r="9" spans="1:30">
      <c r="B9" s="221"/>
      <c r="C9" s="379"/>
      <c r="D9" s="193">
        <f>'S-Input'!X15</f>
        <v>0</v>
      </c>
      <c r="G9" s="27"/>
      <c r="H9" s="223"/>
      <c r="I9" s="221"/>
      <c r="J9" s="227"/>
      <c r="K9" s="221"/>
      <c r="L9" s="221"/>
      <c r="M9" s="221"/>
      <c r="N9" s="221"/>
      <c r="P9" s="193">
        <v>1.25</v>
      </c>
      <c r="Q9" s="222" t="s">
        <v>311</v>
      </c>
    </row>
    <row r="10" spans="1:30">
      <c r="B10" s="221"/>
      <c r="C10" s="379"/>
      <c r="G10" s="27"/>
      <c r="H10" s="223"/>
      <c r="I10" s="221"/>
      <c r="J10" s="221"/>
      <c r="K10" s="221"/>
      <c r="L10" s="225"/>
      <c r="M10" s="221"/>
      <c r="N10" s="225"/>
      <c r="P10" s="193">
        <v>1.5</v>
      </c>
      <c r="Q10" s="222" t="s">
        <v>312</v>
      </c>
      <c r="AB10" s="24" t="s">
        <v>39</v>
      </c>
      <c r="AC10" s="1">
        <f>IF('S-Input'!H$18=AB10,1,0)</f>
        <v>0</v>
      </c>
      <c r="AD10" s="1">
        <f>IF('S-Input'!J$18=AB10,1,0)</f>
        <v>0</v>
      </c>
    </row>
    <row r="11" spans="1:30">
      <c r="B11" s="221"/>
      <c r="C11" s="379"/>
      <c r="G11" s="27"/>
      <c r="H11" s="221"/>
      <c r="I11" s="221"/>
      <c r="J11" s="221"/>
      <c r="K11" s="221"/>
      <c r="L11" s="221"/>
      <c r="M11" s="221"/>
      <c r="N11" s="221"/>
      <c r="P11" s="193">
        <v>2</v>
      </c>
      <c r="Q11" s="222" t="s">
        <v>313</v>
      </c>
      <c r="AB11" s="24" t="s">
        <v>40</v>
      </c>
      <c r="AC11" s="1">
        <f>IF('S-Input'!H$18=AB11,1,0)</f>
        <v>0</v>
      </c>
      <c r="AD11" s="1">
        <f>IF('S-Input'!J$18=AB11,1,0)</f>
        <v>0</v>
      </c>
    </row>
    <row r="12" spans="1:30">
      <c r="B12" s="221"/>
      <c r="C12" s="380"/>
      <c r="P12" s="193">
        <v>2.5</v>
      </c>
      <c r="Q12" s="222" t="s">
        <v>314</v>
      </c>
      <c r="AB12" s="24" t="s">
        <v>41</v>
      </c>
      <c r="AC12" s="1">
        <f>IF('S-Input'!H$18=AB12,1,0)</f>
        <v>1</v>
      </c>
      <c r="AD12" s="1">
        <f>IF('S-Input'!J$18=AB12,1,0)</f>
        <v>0</v>
      </c>
    </row>
    <row r="13" spans="1:30">
      <c r="B13" s="221"/>
      <c r="C13" s="380"/>
      <c r="P13" s="193">
        <v>3</v>
      </c>
      <c r="Q13" s="222" t="s">
        <v>315</v>
      </c>
      <c r="AB13" s="24" t="s">
        <v>42</v>
      </c>
      <c r="AC13" s="1">
        <f>IF('S-Input'!H$18=AB13,1,0)</f>
        <v>0</v>
      </c>
      <c r="AD13" s="1">
        <f>IF('S-Input'!J$18=AB13,1,0)</f>
        <v>0</v>
      </c>
    </row>
    <row r="14" spans="1:30">
      <c r="B14" s="221"/>
      <c r="C14" s="380"/>
      <c r="P14" s="193">
        <v>3.5</v>
      </c>
      <c r="Q14" s="222" t="s">
        <v>316</v>
      </c>
      <c r="AB14" s="24" t="s">
        <v>43</v>
      </c>
      <c r="AC14" s="1">
        <f>IF('S-Input'!H$18=AB14,2,0)</f>
        <v>0</v>
      </c>
      <c r="AD14" s="1">
        <f>IF('S-Input'!J$18=AB14,2,0)</f>
        <v>0</v>
      </c>
    </row>
    <row r="15" spans="1:30">
      <c r="B15" s="221"/>
      <c r="C15" s="379"/>
      <c r="G15" s="27"/>
      <c r="H15" s="225"/>
      <c r="I15" s="221"/>
      <c r="P15" s="193">
        <v>4</v>
      </c>
      <c r="Q15" s="222" t="s">
        <v>317</v>
      </c>
      <c r="AB15" s="24" t="s">
        <v>44</v>
      </c>
      <c r="AC15" s="1">
        <f>IF('S-Input'!H$18=AB15,1,0)</f>
        <v>0</v>
      </c>
      <c r="AD15" s="1">
        <f>IF('S-Input'!J$18=AB15,1,0)</f>
        <v>0</v>
      </c>
    </row>
    <row r="16" spans="1:30">
      <c r="AB16" s="24" t="s">
        <v>45</v>
      </c>
      <c r="AC16" s="1">
        <f>IF('S-Input'!H$18=AB16,1,0)</f>
        <v>0</v>
      </c>
      <c r="AD16" s="1">
        <f>IF('S-Input'!J$18=AB16,1,0)</f>
        <v>0</v>
      </c>
    </row>
    <row r="17" spans="1:35">
      <c r="AB17" s="24" t="s">
        <v>46</v>
      </c>
      <c r="AC17" s="1">
        <f>IF('S-Input'!H$18=AB17,1,0)</f>
        <v>0</v>
      </c>
      <c r="AD17" s="1">
        <f>IF('S-Input'!J$18=AB17,1,0)</f>
        <v>0</v>
      </c>
    </row>
    <row r="19" spans="1:35">
      <c r="A19" s="1"/>
      <c r="B19" s="1"/>
      <c r="C19" s="29" t="s">
        <v>269</v>
      </c>
      <c r="D19" s="24"/>
      <c r="E19" s="24"/>
      <c r="F19" s="22"/>
      <c r="G19" s="22"/>
      <c r="H19" s="1"/>
      <c r="I19" s="1"/>
      <c r="J19" s="1"/>
      <c r="K19" s="1"/>
      <c r="L19" s="1"/>
      <c r="M19" s="1"/>
      <c r="N19" s="1"/>
      <c r="O19" s="1"/>
      <c r="P19" s="1"/>
      <c r="AB19" s="24" t="s">
        <v>299</v>
      </c>
      <c r="AC19" s="1">
        <f>IF(AC8="SER",5,IF(AC8="ROMEX",5,IF(AC8="MC",1,SUM(AC10:AC17))))</f>
        <v>5</v>
      </c>
      <c r="AD19" s="1">
        <f>SUM(AD10:AD17)</f>
        <v>0</v>
      </c>
    </row>
    <row r="20" spans="1:35">
      <c r="A20" s="1"/>
      <c r="B20" s="1"/>
      <c r="C20" s="29" t="s">
        <v>264</v>
      </c>
      <c r="D20" s="27"/>
      <c r="E20" s="27"/>
      <c r="F20" s="27"/>
      <c r="G20" s="27"/>
      <c r="H20" s="30"/>
      <c r="I20" s="30"/>
      <c r="J20" s="30"/>
      <c r="K20" s="30"/>
      <c r="L20" s="30"/>
      <c r="M20" s="30"/>
      <c r="N20" s="1"/>
      <c r="O20" s="1"/>
      <c r="P20" s="22"/>
      <c r="AB20" s="24" t="s">
        <v>300</v>
      </c>
      <c r="AC20" s="1">
        <f>IF('S-Input'!H15="CU",0,IF(AND('S-Input'!H15="AL",AC8="SER"),1,IF(AND('S-Input'!H15="AL",AC8="ROMEX"),1,IF('S-Input'!H15="AL",2,"ERROR"))))</f>
        <v>1</v>
      </c>
      <c r="AD20" s="1">
        <f>IF('S-Input'!H15="CU",0,IF('S-Input'!H15="AL",2,"ERROR"))</f>
        <v>2</v>
      </c>
    </row>
    <row r="21" spans="1:35">
      <c r="A21" s="1"/>
      <c r="B21" s="1" t="s">
        <v>270</v>
      </c>
      <c r="C21" s="27" t="s">
        <v>245</v>
      </c>
      <c r="D21" s="432">
        <f>IF('S-Input'!H8=1,2,1.732)</f>
        <v>2</v>
      </c>
      <c r="E21" s="202" t="s">
        <v>266</v>
      </c>
      <c r="F21" s="433">
        <f>'S-Input'!H17</f>
        <v>50</v>
      </c>
      <c r="G21" s="203" t="s">
        <v>271</v>
      </c>
      <c r="H21" s="434">
        <f>N3</f>
        <v>15304</v>
      </c>
      <c r="I21" s="26" t="s">
        <v>548</v>
      </c>
      <c r="J21" s="434">
        <f>AA55</f>
        <v>1482</v>
      </c>
      <c r="K21" s="204" t="s">
        <v>272</v>
      </c>
      <c r="L21" s="433">
        <f>'S-Input'!DA54</f>
        <v>1</v>
      </c>
      <c r="M21" s="205" t="s">
        <v>273</v>
      </c>
      <c r="N21" s="435">
        <f>'S-Input'!H6</f>
        <v>240</v>
      </c>
      <c r="O21" s="206" t="s">
        <v>385</v>
      </c>
      <c r="P21" s="207">
        <f>ROUND((D21*F21*H21)/(J21*L21*N21),3)</f>
        <v>4.3029999999999999</v>
      </c>
      <c r="R21" s="209" t="s">
        <v>274</v>
      </c>
      <c r="S21" s="209" t="s">
        <v>275</v>
      </c>
    </row>
    <row r="22" spans="1:35">
      <c r="A22" s="1"/>
      <c r="B22" s="1" t="s">
        <v>270</v>
      </c>
      <c r="C22" s="27" t="s">
        <v>245</v>
      </c>
      <c r="D22" s="26" t="str">
        <f>TEXT(D21, "general")</f>
        <v>2</v>
      </c>
      <c r="E22" s="202" t="s">
        <v>257</v>
      </c>
      <c r="F22" s="26" t="str">
        <f>TEXT(F21, "0")</f>
        <v>50</v>
      </c>
      <c r="G22" s="203" t="s">
        <v>368</v>
      </c>
      <c r="H22" s="26" t="str">
        <f>TEXT(H21, "#,##0")</f>
        <v>15,304</v>
      </c>
      <c r="I22" s="208" t="str">
        <f>I21</f>
        <v xml:space="preserve"> AFC  ) ÷ ( </v>
      </c>
      <c r="J22" s="26" t="str">
        <f>TEXT(J21, "#,##0")</f>
        <v>1,482</v>
      </c>
      <c r="K22" s="204" t="s">
        <v>369</v>
      </c>
      <c r="L22" s="26" t="str">
        <f>TEXT(L21, "0")</f>
        <v>1</v>
      </c>
      <c r="M22" s="205" t="s">
        <v>370</v>
      </c>
      <c r="N22" s="26" t="str">
        <f>TEXT(N21, "0")</f>
        <v>240</v>
      </c>
      <c r="O22" s="206" t="s">
        <v>385</v>
      </c>
      <c r="P22" s="26" t="str">
        <f>TEXT(P21, "0.000")</f>
        <v>4.303</v>
      </c>
      <c r="R22" s="209" t="s">
        <v>274</v>
      </c>
      <c r="S22" s="209" t="str">
        <f>CONCATENATE(B22,C22,D22,E22,F22,G22,H22,I22,J22,K22,L22,M22,N22,O22,P22,R22)</f>
        <v>Conductor Factor CF - Formula ( 2 X 50 L X 15,304 AFC  ) ÷ ( 1,482 C X 1 N X 240 V ) = 4.303 CF</v>
      </c>
      <c r="AB22" s="24" t="s">
        <v>232</v>
      </c>
      <c r="AC22" s="1">
        <f>SUM(AC19:AC20)</f>
        <v>6</v>
      </c>
      <c r="AD22" s="1">
        <f>SUM(AD19:AD20)</f>
        <v>2</v>
      </c>
    </row>
    <row r="23" spans="1:35">
      <c r="A23" s="1"/>
      <c r="B23" s="1"/>
      <c r="C23" s="27"/>
      <c r="D23" s="202"/>
      <c r="E23" s="202"/>
      <c r="F23" s="203"/>
      <c r="G23" s="203"/>
      <c r="H23" s="208"/>
      <c r="I23" s="208"/>
      <c r="J23" s="204"/>
      <c r="K23" s="204"/>
      <c r="L23" s="205"/>
      <c r="M23" s="205"/>
      <c r="N23" s="206"/>
      <c r="O23" s="206"/>
      <c r="P23" s="209"/>
      <c r="R23" s="209"/>
      <c r="S23" s="209"/>
    </row>
    <row r="24" spans="1:35">
      <c r="A24" s="1"/>
      <c r="B24" s="1"/>
      <c r="C24" s="29" t="s">
        <v>276</v>
      </c>
      <c r="D24" s="27"/>
      <c r="E24" s="27"/>
      <c r="F24" s="27"/>
      <c r="G24" s="27"/>
      <c r="H24" s="30"/>
      <c r="I24" s="30"/>
      <c r="J24" s="27"/>
      <c r="K24" s="30"/>
      <c r="L24" s="30"/>
      <c r="M24" s="30"/>
      <c r="N24" s="1"/>
      <c r="O24" s="1"/>
      <c r="P24" s="1"/>
      <c r="R24" s="1"/>
      <c r="S24" s="1"/>
    </row>
    <row r="25" spans="1:35">
      <c r="A25" s="1"/>
      <c r="B25" s="1" t="s">
        <v>277</v>
      </c>
      <c r="C25" s="22" t="s">
        <v>278</v>
      </c>
      <c r="D25" s="435">
        <v>1</v>
      </c>
      <c r="E25" s="208" t="s">
        <v>265</v>
      </c>
      <c r="F25" s="435">
        <v>1</v>
      </c>
      <c r="G25" s="210" t="s">
        <v>279</v>
      </c>
      <c r="H25" s="436">
        <f>P21</f>
        <v>4.3029999999999999</v>
      </c>
      <c r="I25" s="211" t="s">
        <v>280</v>
      </c>
      <c r="J25" s="207">
        <f>ROUND(D25/(F25+H25),3)</f>
        <v>0.189</v>
      </c>
      <c r="K25" s="212" t="s">
        <v>281</v>
      </c>
      <c r="L25" s="27"/>
      <c r="M25" s="27"/>
      <c r="N25" s="1"/>
      <c r="O25" s="1"/>
      <c r="P25" s="1"/>
      <c r="R25" s="1"/>
      <c r="S25" s="209" t="s">
        <v>275</v>
      </c>
    </row>
    <row r="26" spans="1:35">
      <c r="A26" s="1"/>
      <c r="B26" s="1" t="s">
        <v>277</v>
      </c>
      <c r="C26" s="22" t="s">
        <v>278</v>
      </c>
      <c r="D26" s="26" t="str">
        <f>TEXT(D25, "0")</f>
        <v>1</v>
      </c>
      <c r="E26" s="208" t="s">
        <v>265</v>
      </c>
      <c r="F26" s="26" t="str">
        <f>TEXT(F25, "0")</f>
        <v>1</v>
      </c>
      <c r="G26" s="210" t="s">
        <v>279</v>
      </c>
      <c r="H26" s="26" t="str">
        <f>TEXT(H25, "0.000")</f>
        <v>4.303</v>
      </c>
      <c r="I26" s="211" t="s">
        <v>280</v>
      </c>
      <c r="J26" s="26" t="str">
        <f>TEXT(J25, "0.000")</f>
        <v>0.189</v>
      </c>
      <c r="K26" s="212" t="s">
        <v>281</v>
      </c>
      <c r="L26" s="27"/>
      <c r="M26" s="27"/>
      <c r="N26" s="1"/>
      <c r="O26" s="1"/>
      <c r="P26" s="1"/>
      <c r="R26" s="1"/>
      <c r="S26" s="209" t="str">
        <f>CONCATENATE(B26,C26,D26,E26,F26,G26,H26,I26,J26,K26)</f>
        <v xml:space="preserve">Conductor Multiplier CM - Formula  ( 1 ) ÷ ( 1 + 4.303 CF ) = 0.189 CM </v>
      </c>
    </row>
    <row r="27" spans="1:35">
      <c r="A27" s="1"/>
      <c r="B27" s="1"/>
      <c r="C27" s="22"/>
      <c r="D27" s="213"/>
      <c r="E27" s="213"/>
      <c r="F27" s="210"/>
      <c r="G27" s="210"/>
      <c r="H27" s="211"/>
      <c r="I27" s="211"/>
      <c r="J27" s="212"/>
      <c r="K27" s="212"/>
      <c r="L27" s="27"/>
      <c r="M27" s="27"/>
      <c r="N27" s="1"/>
      <c r="O27" s="1"/>
      <c r="P27" s="1"/>
      <c r="R27" s="1"/>
      <c r="S27" s="1"/>
      <c r="AB27" s="24">
        <f>AC22</f>
        <v>6</v>
      </c>
      <c r="AC27" s="16"/>
    </row>
    <row r="28" spans="1:35">
      <c r="A28" s="1"/>
      <c r="B28" s="1"/>
      <c r="C28" s="24" t="s">
        <v>282</v>
      </c>
      <c r="D28" s="22"/>
      <c r="E28" s="22"/>
      <c r="F28" s="22"/>
      <c r="G28" s="22"/>
      <c r="H28" s="1"/>
      <c r="I28" s="1"/>
      <c r="J28" s="1"/>
      <c r="K28" s="1"/>
      <c r="L28" s="214"/>
      <c r="M28" s="214"/>
      <c r="N28" s="1"/>
      <c r="O28" s="1"/>
      <c r="P28" s="1"/>
      <c r="R28" s="1"/>
      <c r="S28" s="1"/>
    </row>
    <row r="29" spans="1:35">
      <c r="A29" s="1"/>
      <c r="B29" s="1" t="s">
        <v>283</v>
      </c>
      <c r="C29" s="22" t="s">
        <v>245</v>
      </c>
      <c r="D29" s="437">
        <f>H21</f>
        <v>15304</v>
      </c>
      <c r="E29" s="215" t="s">
        <v>367</v>
      </c>
      <c r="F29" s="436">
        <f>J25</f>
        <v>0.189</v>
      </c>
      <c r="G29" s="216" t="s">
        <v>284</v>
      </c>
      <c r="H29" s="437">
        <f>ROUND((D29*F29),3)</f>
        <v>2892.4560000000001</v>
      </c>
      <c r="I29" s="217" t="s">
        <v>285</v>
      </c>
      <c r="J29" s="29"/>
      <c r="K29" s="29"/>
      <c r="L29" s="1"/>
      <c r="M29" s="1"/>
      <c r="N29" s="1"/>
      <c r="O29" s="1"/>
      <c r="P29" s="1"/>
      <c r="R29" s="1"/>
      <c r="S29" s="209" t="s">
        <v>275</v>
      </c>
      <c r="AB29" s="24">
        <f>IF($AB$27=1,AD29,IF($AB$27=2,AE29,IF($AB$27=3,AF29,IF($AB$27=4,AG29,IF($AB$27=5,AH29,IF($AB$27=6,AI29,"ERROR"))))))</f>
        <v>6</v>
      </c>
      <c r="AD29" s="1">
        <v>1</v>
      </c>
      <c r="AE29" s="1">
        <v>2</v>
      </c>
      <c r="AF29" s="1">
        <v>3</v>
      </c>
      <c r="AG29" s="1">
        <v>4</v>
      </c>
      <c r="AH29" s="661">
        <v>5</v>
      </c>
      <c r="AI29" s="661">
        <v>6</v>
      </c>
    </row>
    <row r="30" spans="1:35">
      <c r="A30" s="1"/>
      <c r="B30" s="1" t="s">
        <v>283</v>
      </c>
      <c r="C30" s="22" t="s">
        <v>245</v>
      </c>
      <c r="D30" s="26" t="str">
        <f>TEXT(D29, "#,##0")</f>
        <v>15,304</v>
      </c>
      <c r="E30" s="215" t="str">
        <f>E29</f>
        <v xml:space="preserve"> AFC X </v>
      </c>
      <c r="F30" s="26" t="str">
        <f>TEXT(F29, "0.000")</f>
        <v>0.189</v>
      </c>
      <c r="G30" s="216" t="s">
        <v>284</v>
      </c>
      <c r="H30" s="26" t="str">
        <f>TEXT(H29, "#,##0")</f>
        <v>2,892</v>
      </c>
      <c r="I30" s="217" t="s">
        <v>285</v>
      </c>
      <c r="J30" s="29"/>
      <c r="K30" s="29"/>
      <c r="L30" s="1" t="str">
        <f>CONCATENATE(H30,I30)</f>
        <v>2,892 CLC</v>
      </c>
      <c r="M30" s="1"/>
      <c r="N30" s="1"/>
      <c r="O30" s="1"/>
      <c r="P30" s="1"/>
      <c r="R30" s="1"/>
      <c r="S30" s="209" t="str">
        <f>CONCATENATE(B30,C30,D30,E30,F30,G30,H30,I30)</f>
        <v>Conductor Let-Through Current CLC - Formula ( 15,304 AFC X 0.189 CM ) = 2,892 CLC</v>
      </c>
      <c r="AB30" s="24" t="str">
        <f t="shared" ref="AB30:AB50" si="0">IF($AB$27=1,AD30,IF($AB$27=2,AE30,IF($AB$27=3,AF30,IF($AB$27=4,AG30,IF($AB$27=5,AH30,IF($AB$27=6,AI30,"ERROR"))))))</f>
        <v>SER-ROMEX</v>
      </c>
      <c r="AC30" s="1" t="s">
        <v>286</v>
      </c>
      <c r="AD30" s="16" t="s">
        <v>287</v>
      </c>
      <c r="AE30" s="16" t="s">
        <v>288</v>
      </c>
      <c r="AF30" s="16" t="s">
        <v>287</v>
      </c>
      <c r="AG30" s="16" t="s">
        <v>288</v>
      </c>
      <c r="AH30" s="661" t="s">
        <v>973</v>
      </c>
      <c r="AI30" s="661" t="s">
        <v>973</v>
      </c>
    </row>
    <row r="31" spans="1:35">
      <c r="A31" s="1"/>
      <c r="B31" s="1"/>
      <c r="C31" s="27"/>
      <c r="D31" s="26"/>
      <c r="E31" s="27"/>
      <c r="F31" s="29"/>
      <c r="G31" s="29"/>
      <c r="H31" s="24"/>
      <c r="I31" s="27"/>
      <c r="J31" s="22"/>
      <c r="K31" s="22"/>
      <c r="L31" s="27"/>
      <c r="M31" s="27"/>
      <c r="N31" s="1"/>
      <c r="O31" s="1"/>
      <c r="P31" s="1"/>
      <c r="AB31" s="24" t="str">
        <f t="shared" si="0"/>
        <v>CABLE</v>
      </c>
      <c r="AD31" s="1" t="s">
        <v>289</v>
      </c>
      <c r="AE31" s="1" t="s">
        <v>289</v>
      </c>
      <c r="AF31" s="1" t="s">
        <v>289</v>
      </c>
      <c r="AG31" s="1" t="s">
        <v>289</v>
      </c>
      <c r="AH31" s="661" t="s">
        <v>968</v>
      </c>
      <c r="AI31" s="661" t="s">
        <v>968</v>
      </c>
    </row>
    <row r="32" spans="1:35">
      <c r="A32" s="1"/>
      <c r="B32" s="1"/>
      <c r="C32" s="27"/>
      <c r="D32" s="214"/>
      <c r="E32" s="218" t="str">
        <f>CONCATENATE(B30,C30,D30,E30,F30,G30,H30,I30)</f>
        <v>Conductor Let-Through Current CLC - Formula ( 15,304 AFC X 0.189 CM ) = 2,892 CLC</v>
      </c>
      <c r="F32" s="36"/>
      <c r="G32" s="36"/>
      <c r="H32" s="28"/>
      <c r="I32" s="28"/>
      <c r="J32" s="22"/>
      <c r="K32" s="22"/>
      <c r="L32" s="27"/>
      <c r="M32" s="27"/>
      <c r="N32" s="1"/>
      <c r="O32" s="1"/>
      <c r="P32" s="1"/>
      <c r="X32" s="1" t="s">
        <v>290</v>
      </c>
      <c r="Y32" s="16" t="str">
        <f>'S-Input'!CY54</f>
        <v>#6</v>
      </c>
      <c r="Z32" s="1">
        <f>MATCH(Y32,AC$33:AC$50,0)</f>
        <v>5</v>
      </c>
      <c r="AB32" s="24" t="str">
        <f t="shared" si="0"/>
        <v>AL</v>
      </c>
      <c r="AD32" s="1" t="s">
        <v>291</v>
      </c>
      <c r="AE32" s="1" t="s">
        <v>291</v>
      </c>
      <c r="AF32" s="1" t="s">
        <v>292</v>
      </c>
      <c r="AG32" s="1" t="s">
        <v>292</v>
      </c>
      <c r="AH32" s="661" t="s">
        <v>60</v>
      </c>
      <c r="AI32" s="661" t="s">
        <v>77</v>
      </c>
    </row>
    <row r="33" spans="8:35">
      <c r="Y33" s="16"/>
      <c r="AA33" s="1">
        <v>1</v>
      </c>
      <c r="AB33" s="24">
        <f t="shared" si="0"/>
        <v>237</v>
      </c>
      <c r="AC33" s="1" t="s">
        <v>293</v>
      </c>
      <c r="AD33" s="1">
        <v>389</v>
      </c>
      <c r="AE33" s="1">
        <v>389</v>
      </c>
      <c r="AF33" s="1">
        <v>237</v>
      </c>
      <c r="AG33" s="1">
        <v>237</v>
      </c>
      <c r="AH33" s="662">
        <v>389</v>
      </c>
      <c r="AI33" s="662">
        <v>237</v>
      </c>
    </row>
    <row r="34" spans="8:35">
      <c r="Y34" s="16"/>
      <c r="AA34" s="1">
        <v>2</v>
      </c>
      <c r="AB34" s="24">
        <f t="shared" si="0"/>
        <v>376</v>
      </c>
      <c r="AC34" s="1" t="s">
        <v>294</v>
      </c>
      <c r="AD34" s="1">
        <v>617</v>
      </c>
      <c r="AE34" s="1">
        <v>617</v>
      </c>
      <c r="AF34" s="1">
        <v>376</v>
      </c>
      <c r="AG34" s="1">
        <v>376</v>
      </c>
      <c r="AH34" s="662">
        <v>617</v>
      </c>
      <c r="AI34" s="662">
        <v>376</v>
      </c>
    </row>
    <row r="35" spans="8:35">
      <c r="H35" s="656">
        <f>ROUND((H29/1000),1)</f>
        <v>2.9</v>
      </c>
      <c r="I35" s="222" t="s">
        <v>970</v>
      </c>
      <c r="L35" s="657" t="str">
        <f>CONCATENATE(H35,I35)</f>
        <v xml:space="preserve">2.9K </v>
      </c>
      <c r="Y35" s="16"/>
      <c r="AA35" s="1">
        <v>3</v>
      </c>
      <c r="AB35" s="24">
        <f t="shared" si="0"/>
        <v>599</v>
      </c>
      <c r="AC35" s="1" t="s">
        <v>169</v>
      </c>
      <c r="AD35" s="1">
        <v>981</v>
      </c>
      <c r="AE35" s="1">
        <v>982</v>
      </c>
      <c r="AF35" s="1">
        <v>599</v>
      </c>
      <c r="AG35" s="1">
        <v>599</v>
      </c>
      <c r="AH35" s="662">
        <v>982</v>
      </c>
      <c r="AI35" s="662">
        <v>599</v>
      </c>
    </row>
    <row r="36" spans="8:35">
      <c r="Y36" s="16"/>
      <c r="AA36" s="1">
        <v>4</v>
      </c>
      <c r="AB36" s="24">
        <f t="shared" si="0"/>
        <v>952</v>
      </c>
      <c r="AC36" s="1" t="s">
        <v>173</v>
      </c>
      <c r="AD36" s="1">
        <v>1557</v>
      </c>
      <c r="AE36" s="1">
        <v>1559</v>
      </c>
      <c r="AF36" s="1">
        <v>951</v>
      </c>
      <c r="AG36" s="1">
        <v>952</v>
      </c>
      <c r="AH36" s="662">
        <v>1560</v>
      </c>
      <c r="AI36" s="662">
        <v>952</v>
      </c>
    </row>
    <row r="37" spans="8:35">
      <c r="Y37" s="16"/>
      <c r="AA37" s="1">
        <v>5</v>
      </c>
      <c r="AB37" s="24">
        <f t="shared" si="0"/>
        <v>1482</v>
      </c>
      <c r="AC37" s="1" t="s">
        <v>76</v>
      </c>
      <c r="AD37" s="1">
        <v>2425</v>
      </c>
      <c r="AE37" s="1">
        <v>2430</v>
      </c>
      <c r="AF37" s="1">
        <v>1481</v>
      </c>
      <c r="AG37" s="1">
        <v>1482</v>
      </c>
      <c r="AH37" s="662">
        <v>2433</v>
      </c>
      <c r="AI37" s="662">
        <v>1482</v>
      </c>
    </row>
    <row r="38" spans="8:35">
      <c r="Y38" s="16"/>
      <c r="AA38" s="1">
        <v>6</v>
      </c>
      <c r="AB38" s="24">
        <f t="shared" si="0"/>
        <v>2353</v>
      </c>
      <c r="AC38" s="1" t="s">
        <v>80</v>
      </c>
      <c r="AD38" s="1">
        <v>3806</v>
      </c>
      <c r="AE38" s="1">
        <v>3826</v>
      </c>
      <c r="AF38" s="1">
        <v>2346</v>
      </c>
      <c r="AG38" s="1">
        <v>2350</v>
      </c>
      <c r="AH38" s="662">
        <v>3838</v>
      </c>
      <c r="AI38" s="662">
        <v>2353</v>
      </c>
    </row>
    <row r="39" spans="8:35">
      <c r="Y39" s="16"/>
      <c r="AA39" s="1">
        <v>7</v>
      </c>
      <c r="AB39" s="24">
        <f t="shared" si="0"/>
        <v>2966</v>
      </c>
      <c r="AC39" s="1" t="s">
        <v>84</v>
      </c>
      <c r="AD39" s="1">
        <v>4774</v>
      </c>
      <c r="AE39" s="1">
        <v>4811</v>
      </c>
      <c r="AF39" s="1">
        <v>2952</v>
      </c>
      <c r="AG39" s="1">
        <v>2961</v>
      </c>
      <c r="AH39" s="662">
        <v>4833</v>
      </c>
      <c r="AI39" s="662">
        <v>2966</v>
      </c>
    </row>
    <row r="40" spans="8:35">
      <c r="AA40" s="1">
        <v>8</v>
      </c>
      <c r="AB40" s="24">
        <f t="shared" si="0"/>
        <v>3740</v>
      </c>
      <c r="AC40" s="1" t="s">
        <v>83</v>
      </c>
      <c r="AD40" s="1">
        <v>5907</v>
      </c>
      <c r="AE40" s="1">
        <v>6044</v>
      </c>
      <c r="AF40" s="1">
        <v>3713</v>
      </c>
      <c r="AG40" s="1">
        <v>3730</v>
      </c>
      <c r="AH40" s="662">
        <v>6087</v>
      </c>
      <c r="AI40" s="662">
        <v>3740</v>
      </c>
    </row>
    <row r="41" spans="8:35">
      <c r="Z41" s="1">
        <f>Z32</f>
        <v>5</v>
      </c>
      <c r="AA41" s="1">
        <v>9</v>
      </c>
      <c r="AB41" s="24">
        <f t="shared" si="0"/>
        <v>4699</v>
      </c>
      <c r="AC41" s="1" t="s">
        <v>87</v>
      </c>
      <c r="AD41" s="1">
        <v>7293</v>
      </c>
      <c r="AE41" s="1">
        <v>7493</v>
      </c>
      <c r="AF41" s="1">
        <v>4645</v>
      </c>
      <c r="AG41" s="1">
        <v>4678</v>
      </c>
      <c r="AH41" s="662">
        <v>7579</v>
      </c>
      <c r="AI41" s="662">
        <v>4699</v>
      </c>
    </row>
    <row r="42" spans="8:35">
      <c r="X42" s="16"/>
      <c r="AA42" s="1">
        <v>10</v>
      </c>
      <c r="AB42" s="24">
        <f t="shared" si="0"/>
        <v>5876</v>
      </c>
      <c r="AC42" s="1" t="s">
        <v>93</v>
      </c>
      <c r="AD42" s="1">
        <v>8925</v>
      </c>
      <c r="AE42" s="1">
        <v>9317</v>
      </c>
      <c r="AF42" s="1">
        <v>5777</v>
      </c>
      <c r="AG42" s="1">
        <v>5838</v>
      </c>
      <c r="AH42" s="662">
        <v>9473</v>
      </c>
      <c r="AI42" s="662">
        <v>5876</v>
      </c>
    </row>
    <row r="43" spans="8:35">
      <c r="X43" s="194"/>
      <c r="Y43" s="194"/>
      <c r="AA43" s="1">
        <v>11</v>
      </c>
      <c r="AB43" s="24">
        <f t="shared" si="0"/>
        <v>7373</v>
      </c>
      <c r="AC43" s="1" t="s">
        <v>97</v>
      </c>
      <c r="AD43" s="1">
        <v>10755</v>
      </c>
      <c r="AE43" s="1">
        <v>11424</v>
      </c>
      <c r="AF43" s="1">
        <v>7187</v>
      </c>
      <c r="AG43" s="1">
        <v>7301</v>
      </c>
      <c r="AH43" s="662">
        <v>11703</v>
      </c>
      <c r="AI43" s="662">
        <v>7373</v>
      </c>
    </row>
    <row r="44" spans="8:35">
      <c r="X44" s="194"/>
      <c r="Y44" s="194"/>
      <c r="AA44" s="1">
        <v>12</v>
      </c>
      <c r="AB44" s="24">
        <f t="shared" si="0"/>
        <v>9243</v>
      </c>
      <c r="AC44" s="1" t="s">
        <v>101</v>
      </c>
      <c r="AD44" s="1">
        <v>12844</v>
      </c>
      <c r="AE44" s="1">
        <v>13923</v>
      </c>
      <c r="AF44" s="1">
        <v>8826</v>
      </c>
      <c r="AG44" s="1">
        <v>9110</v>
      </c>
      <c r="AH44" s="662">
        <v>14410</v>
      </c>
      <c r="AI44" s="662">
        <v>9243</v>
      </c>
    </row>
    <row r="45" spans="8:35">
      <c r="X45" s="194"/>
      <c r="Y45" s="194"/>
      <c r="AA45" s="1">
        <v>13</v>
      </c>
      <c r="AB45" s="24">
        <f t="shared" si="0"/>
        <v>11409</v>
      </c>
      <c r="AC45" s="1" t="s">
        <v>103</v>
      </c>
      <c r="AD45" s="1">
        <v>15082</v>
      </c>
      <c r="AE45" s="1">
        <v>16673</v>
      </c>
      <c r="AF45" s="1">
        <v>10741</v>
      </c>
      <c r="AG45" s="1">
        <v>11174</v>
      </c>
      <c r="AH45" s="662">
        <v>17438</v>
      </c>
      <c r="AI45" s="662">
        <v>11409</v>
      </c>
    </row>
    <row r="46" spans="8:35">
      <c r="X46" s="194"/>
      <c r="Y46" s="194"/>
      <c r="AA46" s="1">
        <v>14</v>
      </c>
      <c r="AB46" s="24">
        <f t="shared" si="0"/>
        <v>13236</v>
      </c>
      <c r="AC46" s="1" t="s">
        <v>106</v>
      </c>
      <c r="AD46" s="1">
        <v>16483</v>
      </c>
      <c r="AE46" s="1">
        <v>18594</v>
      </c>
      <c r="AF46" s="1">
        <v>12122</v>
      </c>
      <c r="AG46" s="1">
        <v>12862</v>
      </c>
      <c r="AH46" s="662">
        <v>19779</v>
      </c>
      <c r="AI46" s="662">
        <v>13236</v>
      </c>
    </row>
    <row r="47" spans="8:35">
      <c r="X47" s="194"/>
      <c r="Y47" s="194"/>
      <c r="Z47" s="194"/>
      <c r="AA47" s="1">
        <v>15</v>
      </c>
      <c r="AB47" s="24">
        <f t="shared" si="0"/>
        <v>15495</v>
      </c>
      <c r="AC47" s="1" t="s">
        <v>109</v>
      </c>
      <c r="AD47" s="1">
        <v>18177</v>
      </c>
      <c r="AE47" s="1">
        <v>20868</v>
      </c>
      <c r="AF47" s="1">
        <v>13910</v>
      </c>
      <c r="AG47" s="1">
        <v>14923</v>
      </c>
      <c r="AH47" s="662">
        <v>22525</v>
      </c>
      <c r="AI47" s="662">
        <v>15495</v>
      </c>
    </row>
    <row r="48" spans="8:35">
      <c r="AA48" s="1">
        <v>16</v>
      </c>
      <c r="AB48" s="24">
        <f t="shared" si="0"/>
        <v>17635</v>
      </c>
      <c r="AC48" s="1" t="s">
        <v>112</v>
      </c>
      <c r="AD48" s="1">
        <v>19704</v>
      </c>
      <c r="AE48" s="1">
        <v>22737</v>
      </c>
      <c r="AF48" s="1">
        <v>15484</v>
      </c>
      <c r="AG48" s="1">
        <v>16813</v>
      </c>
      <c r="AH48" s="662">
        <v>24904</v>
      </c>
      <c r="AI48" s="662">
        <v>17635</v>
      </c>
    </row>
    <row r="49" spans="24:35">
      <c r="X49" s="194"/>
      <c r="AA49" s="1">
        <v>17</v>
      </c>
      <c r="AB49" s="24">
        <f t="shared" si="0"/>
        <v>19588</v>
      </c>
      <c r="AC49" s="1" t="s">
        <v>114</v>
      </c>
      <c r="AD49" s="1">
        <v>20566</v>
      </c>
      <c r="AE49" s="1">
        <v>24297</v>
      </c>
      <c r="AF49" s="1">
        <v>16671</v>
      </c>
      <c r="AG49" s="1">
        <v>18506</v>
      </c>
      <c r="AH49" s="662">
        <v>26916</v>
      </c>
      <c r="AI49" s="662">
        <v>19588</v>
      </c>
    </row>
    <row r="50" spans="24:35">
      <c r="X50" s="194"/>
      <c r="Y50" s="194"/>
      <c r="AA50" s="1">
        <v>18</v>
      </c>
      <c r="AB50" s="24">
        <f t="shared" si="0"/>
        <v>23018</v>
      </c>
      <c r="AC50" s="1" t="s">
        <v>116</v>
      </c>
      <c r="AD50" s="1">
        <v>22185</v>
      </c>
      <c r="AE50" s="1">
        <v>26706</v>
      </c>
      <c r="AF50" s="1">
        <v>18756</v>
      </c>
      <c r="AG50" s="1">
        <v>21391</v>
      </c>
      <c r="AH50" s="662">
        <v>30096</v>
      </c>
      <c r="AI50" s="662">
        <v>23018</v>
      </c>
    </row>
    <row r="55" spans="24:35">
      <c r="AA55" s="1">
        <f>IF(ISNA(VLOOKUP(Z41,AA33:AB50,2)=TRUE),0,VLOOKUP(Z41,AA33:AB50,2))</f>
        <v>1482</v>
      </c>
      <c r="AB55" s="24" t="str">
        <f>IF(ISNA(VLOOKUP(Z41,AA33:AC53,3)=TRUE),0,VLOOKUP(Z41,AA33:AC53,3))</f>
        <v>#6</v>
      </c>
    </row>
    <row r="58" spans="24:35">
      <c r="AB58" s="1"/>
    </row>
    <row r="59" spans="24:35">
      <c r="Y59" s="16"/>
      <c r="AB59" s="1"/>
    </row>
    <row r="60" spans="24:35">
      <c r="Y60" s="16"/>
      <c r="AB60" s="1"/>
    </row>
    <row r="61" spans="24:35">
      <c r="Y61" s="16"/>
      <c r="AB61" s="1"/>
    </row>
    <row r="62" spans="24:35">
      <c r="AB62" s="1"/>
    </row>
    <row r="63" spans="24:35">
      <c r="AB63" s="1"/>
    </row>
    <row r="64" spans="24:35">
      <c r="AB64" s="1"/>
    </row>
    <row r="65" spans="28:29">
      <c r="AB65" s="1"/>
    </row>
    <row r="66" spans="28:29">
      <c r="AB66" s="1"/>
    </row>
    <row r="67" spans="28:29">
      <c r="AB67" s="1"/>
    </row>
    <row r="68" spans="28:29">
      <c r="AB68" s="1"/>
    </row>
    <row r="69" spans="28:29">
      <c r="AB69" s="1"/>
    </row>
    <row r="70" spans="28:29">
      <c r="AB70" s="1"/>
    </row>
    <row r="73" spans="28:29">
      <c r="AC73" s="220"/>
    </row>
    <row r="74" spans="28:29">
      <c r="AC74" s="24"/>
    </row>
    <row r="75" spans="28:29">
      <c r="AC75" s="219"/>
    </row>
    <row r="76" spans="28:29">
      <c r="AC76" s="24"/>
    </row>
    <row r="77" spans="28:29">
      <c r="AC77" s="23"/>
    </row>
    <row r="78" spans="28:29">
      <c r="AC78" s="23"/>
    </row>
    <row r="79" spans="28:29">
      <c r="AC79" s="23"/>
    </row>
    <row r="80" spans="28:29">
      <c r="AC80" s="23"/>
    </row>
    <row r="81" spans="28:29">
      <c r="AB81" s="23"/>
      <c r="AC81" s="24"/>
    </row>
    <row r="82" spans="28:29">
      <c r="AB82" s="23"/>
      <c r="AC82" s="24"/>
    </row>
    <row r="83" spans="28:29">
      <c r="AB83" s="23"/>
      <c r="AC83" s="24"/>
    </row>
    <row r="84" spans="28:29">
      <c r="AB84" s="23"/>
      <c r="AC84" s="24"/>
    </row>
    <row r="85" spans="28:29">
      <c r="AB85" s="23"/>
      <c r="AC85" s="24"/>
    </row>
    <row r="86" spans="28:29">
      <c r="AB86" s="23"/>
      <c r="AC86" s="24"/>
    </row>
    <row r="87" spans="28:29">
      <c r="AB87" s="23"/>
      <c r="AC87" s="24"/>
    </row>
    <row r="88" spans="28:29">
      <c r="AB88" s="23"/>
      <c r="AC88" s="24"/>
    </row>
    <row r="89" spans="28:29">
      <c r="AB89" s="23"/>
      <c r="AC89" s="24"/>
    </row>
    <row r="90" spans="28:29">
      <c r="AB90" s="23"/>
      <c r="AC90" s="24"/>
    </row>
    <row r="91" spans="28:29">
      <c r="AB91" s="23"/>
      <c r="AC91" s="24"/>
    </row>
    <row r="92" spans="28:29">
      <c r="AB92" s="23"/>
      <c r="AC92" s="24"/>
    </row>
    <row r="93" spans="28:29">
      <c r="AB93" s="23"/>
      <c r="AC93" s="24"/>
    </row>
    <row r="94" spans="28:29">
      <c r="AB94" s="23"/>
      <c r="AC94" s="24"/>
    </row>
    <row r="95" spans="28:29">
      <c r="AB95" s="23"/>
      <c r="AC95" s="24"/>
    </row>
    <row r="96" spans="28:29">
      <c r="AB96" s="23"/>
      <c r="AC96" s="24"/>
    </row>
    <row r="97" spans="28:29">
      <c r="AB97" s="23"/>
      <c r="AC97" s="24"/>
    </row>
    <row r="98" spans="28:29">
      <c r="AB98" s="23"/>
      <c r="AC98" s="24"/>
    </row>
    <row r="99" spans="28:29">
      <c r="AB99" s="23"/>
      <c r="AC99" s="24"/>
    </row>
    <row r="100" spans="28:29">
      <c r="AB100" s="23"/>
      <c r="AC100" s="24"/>
    </row>
  </sheetData>
  <phoneticPr fontId="0" type="noConversion"/>
  <conditionalFormatting sqref="AH30:AH50 AI30">
    <cfRule type="expression" dxfId="7" priority="1" stopIfTrue="1">
      <formula>IF(AB$29=5,TRUE,FALSE)</formula>
    </cfRule>
  </conditionalFormatting>
  <conditionalFormatting sqref="AI31:AI50">
    <cfRule type="expression" dxfId="6" priority="2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U100"/>
  <sheetViews>
    <sheetView workbookViewId="0">
      <selection sqref="A1:IV65536"/>
    </sheetView>
  </sheetViews>
  <sheetFormatPr defaultColWidth="10.6640625" defaultRowHeight="12.75"/>
  <cols>
    <col min="1" max="23" width="10.6640625" style="193" customWidth="1"/>
    <col min="24" max="26" width="10.6640625" style="1" customWidth="1"/>
    <col min="27" max="27" width="16.5" style="1" customWidth="1"/>
    <col min="28" max="28" width="22" style="24" customWidth="1"/>
    <col min="29" max="29" width="20.33203125" style="1" customWidth="1"/>
    <col min="30" max="30" width="12.5" style="1" customWidth="1"/>
    <col min="31" max="31" width="19.1640625" style="1" customWidth="1"/>
    <col min="32" max="32" width="15.1640625" style="1" customWidth="1"/>
    <col min="33" max="34" width="12.5" style="1" customWidth="1"/>
    <col min="35" max="47" width="10.6640625" style="1" customWidth="1"/>
    <col min="48" max="16384" width="10.6640625" style="193"/>
  </cols>
  <sheetData>
    <row r="1" spans="1:30">
      <c r="A1" s="1"/>
      <c r="B1" s="1"/>
      <c r="C1" s="24" t="s">
        <v>480</v>
      </c>
      <c r="D1" s="22"/>
      <c r="E1" s="194"/>
      <c r="F1" s="22"/>
      <c r="G1" s="22"/>
      <c r="H1" s="22"/>
      <c r="I1" s="429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  <c r="W1" s="1"/>
    </row>
    <row r="2" spans="1:30">
      <c r="A2" s="1"/>
      <c r="B2" s="1"/>
      <c r="C2" s="22"/>
      <c r="D2" s="22"/>
      <c r="E2" s="194"/>
      <c r="F2" s="22"/>
      <c r="G2" s="22"/>
      <c r="H2" s="22"/>
      <c r="I2" s="22"/>
      <c r="J2" s="22"/>
      <c r="K2" s="22"/>
      <c r="L2" s="22"/>
      <c r="M2" s="22"/>
      <c r="N2" s="22"/>
      <c r="O2" s="22"/>
      <c r="P2" s="1"/>
      <c r="Q2" s="1"/>
      <c r="R2" s="1"/>
      <c r="S2" s="1"/>
      <c r="T2" s="1"/>
      <c r="U2" s="1"/>
      <c r="V2" s="1"/>
      <c r="W2" s="1"/>
    </row>
    <row r="3" spans="1:30">
      <c r="A3" s="1"/>
      <c r="B3" s="1"/>
      <c r="C3" s="24"/>
      <c r="D3" s="91" t="s">
        <v>295</v>
      </c>
      <c r="E3" s="194"/>
      <c r="F3" s="24"/>
      <c r="G3" s="24" t="s">
        <v>296</v>
      </c>
      <c r="H3" s="430">
        <f>IF('S-Input'!O3="MANUAL",'S-Input'!O4,IF('S-Input'!O3="AUTO",Input!O6,0))</f>
        <v>0</v>
      </c>
      <c r="I3" s="24" t="s">
        <v>297</v>
      </c>
      <c r="J3" s="431">
        <f>IF('S-Input'!O3="MANUAL",'S-Input'!O5,IF('S-Input'!O3="AUTO",Input!O5,0))</f>
        <v>0</v>
      </c>
      <c r="K3" s="22" t="s">
        <v>267</v>
      </c>
      <c r="L3" s="435">
        <f>ROUND('S-Input'!AW83*4,0)</f>
        <v>0</v>
      </c>
      <c r="M3" s="22" t="s">
        <v>268</v>
      </c>
      <c r="N3" s="31">
        <f>((H3*J3)+L3)</f>
        <v>0</v>
      </c>
      <c r="O3" s="24" t="s">
        <v>298</v>
      </c>
      <c r="P3" s="1"/>
      <c r="Q3" s="1"/>
      <c r="R3" s="1"/>
      <c r="S3" s="1"/>
      <c r="T3" s="1"/>
      <c r="U3" s="1"/>
      <c r="V3" s="1"/>
      <c r="W3" s="1"/>
    </row>
    <row r="4" spans="1:30">
      <c r="A4" s="1"/>
      <c r="B4" s="1"/>
      <c r="C4" s="29"/>
      <c r="D4" s="91" t="s">
        <v>295</v>
      </c>
      <c r="E4" s="196"/>
      <c r="F4" s="27"/>
      <c r="G4" s="24" t="s">
        <v>296</v>
      </c>
      <c r="H4" s="26" t="str">
        <f>TEXT(H3, "#,##0")</f>
        <v>0</v>
      </c>
      <c r="I4" s="24" t="s">
        <v>367</v>
      </c>
      <c r="J4" s="26" t="str">
        <f>TEXT(J3, "0.00")</f>
        <v>0.00</v>
      </c>
      <c r="K4" s="22" t="s">
        <v>267</v>
      </c>
      <c r="L4" s="26" t="str">
        <f>TEXT(L3, "#,##0")</f>
        <v>0</v>
      </c>
      <c r="M4" s="22" t="s">
        <v>268</v>
      </c>
      <c r="N4" s="26" t="str">
        <f>TEXT(N3, "#,##0")</f>
        <v>0</v>
      </c>
      <c r="O4" s="24" t="s">
        <v>298</v>
      </c>
      <c r="P4" s="1"/>
      <c r="Q4" s="1"/>
      <c r="R4" s="1"/>
      <c r="S4" s="1" t="str">
        <f>CONCATENATE(D4,G4,H4,I4,J4,K4,L4,M4,N4,O4)</f>
        <v>Available Fault Current at Starting Point  (( 0 AFC X 0.00 UA ) + 0 MC ) = 0 AFC</v>
      </c>
      <c r="T4" s="1"/>
      <c r="U4" s="1"/>
      <c r="V4" s="1"/>
      <c r="W4" s="1"/>
    </row>
    <row r="5" spans="1:30">
      <c r="A5" s="1"/>
      <c r="B5" s="1"/>
      <c r="C5" s="27"/>
      <c r="D5" s="26"/>
      <c r="E5" s="197"/>
      <c r="F5" s="28"/>
      <c r="G5" s="27"/>
      <c r="H5" s="26"/>
      <c r="I5" s="26"/>
      <c r="J5" s="198"/>
      <c r="K5" s="199"/>
      <c r="L5" s="26"/>
      <c r="M5" s="91"/>
      <c r="N5" s="91"/>
      <c r="O5" s="29"/>
      <c r="P5" s="1" t="str">
        <f>CONCATENATE(N4,O4)</f>
        <v>0 AFC</v>
      </c>
      <c r="Q5" s="1"/>
      <c r="R5" s="1"/>
      <c r="S5" s="1"/>
      <c r="T5" s="1"/>
      <c r="U5" s="1"/>
      <c r="V5" s="1"/>
      <c r="W5" s="1"/>
    </row>
    <row r="6" spans="1:30">
      <c r="A6" s="1"/>
      <c r="B6" s="221"/>
      <c r="C6" s="379"/>
      <c r="D6" s="221"/>
      <c r="E6" s="197"/>
      <c r="F6" s="26"/>
      <c r="G6" s="27"/>
      <c r="H6" s="26"/>
      <c r="I6" s="26"/>
      <c r="J6" s="198"/>
      <c r="K6" s="199"/>
      <c r="L6" s="26"/>
      <c r="M6" s="91"/>
      <c r="N6" s="91"/>
      <c r="O6" s="29"/>
      <c r="P6" s="1"/>
      <c r="Q6" s="1"/>
      <c r="R6" s="1"/>
      <c r="S6" s="1"/>
      <c r="T6" s="1"/>
      <c r="U6" s="1"/>
      <c r="V6" s="1"/>
      <c r="W6" s="1"/>
    </row>
    <row r="7" spans="1:30">
      <c r="B7" s="221"/>
      <c r="C7" s="380"/>
      <c r="P7" s="193">
        <v>0.75</v>
      </c>
      <c r="Q7" s="222" t="s">
        <v>309</v>
      </c>
    </row>
    <row r="8" spans="1:30">
      <c r="B8" s="221"/>
      <c r="C8" s="379"/>
      <c r="G8" s="27"/>
      <c r="H8" s="221"/>
      <c r="I8" s="224"/>
      <c r="J8" s="221"/>
      <c r="K8" s="221"/>
      <c r="L8" s="221"/>
      <c r="M8" s="221"/>
      <c r="N8" s="221"/>
      <c r="P8" s="193">
        <v>1</v>
      </c>
      <c r="Q8" s="222" t="s">
        <v>310</v>
      </c>
    </row>
    <row r="9" spans="1:30">
      <c r="B9" s="221"/>
      <c r="C9" s="379"/>
      <c r="G9" s="27"/>
      <c r="H9" s="223"/>
      <c r="I9" s="221"/>
      <c r="J9" s="227"/>
      <c r="K9" s="221"/>
      <c r="L9" s="221"/>
      <c r="M9" s="221"/>
      <c r="N9" s="221"/>
      <c r="P9" s="193">
        <v>1.25</v>
      </c>
      <c r="Q9" s="222" t="s">
        <v>311</v>
      </c>
    </row>
    <row r="10" spans="1:30">
      <c r="B10" s="221"/>
      <c r="C10" s="379"/>
      <c r="G10" s="27"/>
      <c r="H10" s="223"/>
      <c r="I10" s="221"/>
      <c r="J10" s="221"/>
      <c r="K10" s="221"/>
      <c r="L10" s="225"/>
      <c r="M10" s="221"/>
      <c r="N10" s="225"/>
      <c r="P10" s="193">
        <v>1.5</v>
      </c>
      <c r="Q10" s="222" t="s">
        <v>312</v>
      </c>
      <c r="AB10" s="24" t="s">
        <v>39</v>
      </c>
      <c r="AC10" s="1">
        <f>IF('S-Input'!H$18=AB10,1,0)</f>
        <v>0</v>
      </c>
      <c r="AD10" s="1">
        <f>IF('S-Input'!J$18=AB10,1,0)</f>
        <v>0</v>
      </c>
    </row>
    <row r="11" spans="1:30">
      <c r="B11" s="221"/>
      <c r="C11" s="379"/>
      <c r="G11" s="27"/>
      <c r="H11" s="221"/>
      <c r="I11" s="221"/>
      <c r="J11" s="221"/>
      <c r="K11" s="221"/>
      <c r="L11" s="221"/>
      <c r="M11" s="221"/>
      <c r="N11" s="221"/>
      <c r="P11" s="193">
        <v>2</v>
      </c>
      <c r="Q11" s="222" t="s">
        <v>313</v>
      </c>
      <c r="AB11" s="24" t="s">
        <v>40</v>
      </c>
      <c r="AC11" s="1">
        <f>IF('S-Input'!H$18=AB11,1,0)</f>
        <v>0</v>
      </c>
      <c r="AD11" s="1">
        <f>IF('S-Input'!J$18=AB11,1,0)</f>
        <v>0</v>
      </c>
    </row>
    <row r="12" spans="1:30">
      <c r="B12" s="221"/>
      <c r="C12" s="380"/>
      <c r="P12" s="193">
        <v>2.5</v>
      </c>
      <c r="Q12" s="222" t="s">
        <v>314</v>
      </c>
      <c r="AB12" s="24" t="s">
        <v>41</v>
      </c>
      <c r="AC12" s="1">
        <f>IF('S-Input'!H$18=AB12,1,0)</f>
        <v>1</v>
      </c>
      <c r="AD12" s="1">
        <f>IF('S-Input'!J$18=AB12,1,0)</f>
        <v>0</v>
      </c>
    </row>
    <row r="13" spans="1:30">
      <c r="B13" s="221"/>
      <c r="C13" s="380"/>
      <c r="P13" s="193">
        <v>3</v>
      </c>
      <c r="Q13" s="222" t="s">
        <v>315</v>
      </c>
      <c r="AB13" s="24" t="s">
        <v>42</v>
      </c>
      <c r="AC13" s="1">
        <f>IF('S-Input'!H$18=AB13,1,0)</f>
        <v>0</v>
      </c>
      <c r="AD13" s="1">
        <f>IF('S-Input'!J$18=AB13,1,0)</f>
        <v>0</v>
      </c>
    </row>
    <row r="14" spans="1:30">
      <c r="B14" s="221"/>
      <c r="C14" s="380"/>
      <c r="P14" s="193">
        <v>3.5</v>
      </c>
      <c r="Q14" s="222" t="s">
        <v>316</v>
      </c>
      <c r="AB14" s="24" t="s">
        <v>43</v>
      </c>
      <c r="AC14" s="1">
        <f>IF('S-Input'!H$18=AB14,2,0)</f>
        <v>0</v>
      </c>
      <c r="AD14" s="1">
        <f>IF('S-Input'!J$18=AB14,2,0)</f>
        <v>0</v>
      </c>
    </row>
    <row r="15" spans="1:30">
      <c r="B15" s="221"/>
      <c r="C15" s="379"/>
      <c r="G15" s="27"/>
      <c r="H15" s="225"/>
      <c r="I15" s="221"/>
      <c r="P15" s="193">
        <v>4</v>
      </c>
      <c r="Q15" s="222" t="s">
        <v>317</v>
      </c>
      <c r="AB15" s="24" t="s">
        <v>44</v>
      </c>
      <c r="AC15" s="1">
        <f>IF('S-Input'!H$18=AB15,1,0)</f>
        <v>0</v>
      </c>
      <c r="AD15" s="1">
        <f>IF('S-Input'!J$18=AB15,1,0)</f>
        <v>0</v>
      </c>
    </row>
    <row r="16" spans="1:30">
      <c r="AB16" s="24" t="s">
        <v>45</v>
      </c>
      <c r="AC16" s="1">
        <f>IF('S-Input'!H$18=AB16,1,0)</f>
        <v>0</v>
      </c>
      <c r="AD16" s="1">
        <f>IF('S-Input'!J$18=AB16,1,0)</f>
        <v>0</v>
      </c>
    </row>
    <row r="17" spans="1:33">
      <c r="AB17" s="24" t="s">
        <v>46</v>
      </c>
      <c r="AC17" s="1">
        <f>IF('S-Input'!H$18=AB17,1,0)</f>
        <v>0</v>
      </c>
      <c r="AD17" s="1">
        <f>IF('S-Input'!J$18=AB17,1,0)</f>
        <v>0</v>
      </c>
    </row>
    <row r="19" spans="1:33">
      <c r="A19" s="1"/>
      <c r="B19" s="1"/>
      <c r="C19" s="29" t="s">
        <v>269</v>
      </c>
      <c r="D19" s="24"/>
      <c r="E19" s="24"/>
      <c r="F19" s="22"/>
      <c r="G19" s="22"/>
      <c r="H19" s="1"/>
      <c r="I19" s="1"/>
      <c r="J19" s="1"/>
      <c r="K19" s="1"/>
      <c r="L19" s="1"/>
      <c r="M19" s="1"/>
      <c r="N19" s="1"/>
      <c r="O19" s="1"/>
      <c r="P19" s="1"/>
      <c r="AB19" s="24" t="s">
        <v>299</v>
      </c>
      <c r="AC19" s="1">
        <f>SUM(AC10:AC17)</f>
        <v>1</v>
      </c>
      <c r="AD19" s="1">
        <f>SUM(AD10:AD17)</f>
        <v>0</v>
      </c>
    </row>
    <row r="20" spans="1:33">
      <c r="A20" s="1"/>
      <c r="B20" s="1"/>
      <c r="C20" s="29" t="s">
        <v>264</v>
      </c>
      <c r="D20" s="27"/>
      <c r="E20" s="27"/>
      <c r="F20" s="27"/>
      <c r="G20" s="27"/>
      <c r="H20" s="30"/>
      <c r="I20" s="30"/>
      <c r="J20" s="30"/>
      <c r="K20" s="30"/>
      <c r="L20" s="30"/>
      <c r="M20" s="30"/>
      <c r="N20" s="1"/>
      <c r="O20" s="1"/>
      <c r="P20" s="22"/>
      <c r="AB20" s="24" t="s">
        <v>300</v>
      </c>
      <c r="AC20" s="1">
        <f>IF('S-Input'!H15="CU",0,IF('S-Input'!H15="al",2,"ERROR"))</f>
        <v>2</v>
      </c>
      <c r="AD20" s="1">
        <f>IF('S-Input'!H15="CU",0,IF('S-Input'!H15="al",2,"ERROR"))</f>
        <v>2</v>
      </c>
    </row>
    <row r="21" spans="1:33">
      <c r="A21" s="1"/>
      <c r="B21" s="1" t="s">
        <v>270</v>
      </c>
      <c r="C21" s="27" t="s">
        <v>245</v>
      </c>
      <c r="D21" s="432">
        <f>IF('S-Input'!H8=1,2,1.732)</f>
        <v>2</v>
      </c>
      <c r="E21" s="202" t="s">
        <v>266</v>
      </c>
      <c r="F21" s="433">
        <f>'S-Input'!J17</f>
        <v>0</v>
      </c>
      <c r="G21" s="203" t="s">
        <v>271</v>
      </c>
      <c r="H21" s="434">
        <f>N3</f>
        <v>0</v>
      </c>
      <c r="I21" s="26" t="s">
        <v>548</v>
      </c>
      <c r="J21" s="434">
        <f>AA55</f>
        <v>2430</v>
      </c>
      <c r="K21" s="204" t="s">
        <v>272</v>
      </c>
      <c r="L21" s="433">
        <f>'S-Input'!DA57</f>
        <v>1</v>
      </c>
      <c r="M21" s="205" t="s">
        <v>273</v>
      </c>
      <c r="N21" s="435">
        <f>Input!H6</f>
        <v>240</v>
      </c>
      <c r="O21" s="206" t="s">
        <v>754</v>
      </c>
      <c r="P21" s="207">
        <f>ROUND((D21*F21*H21)/(J21*L21*N21),3)</f>
        <v>0</v>
      </c>
      <c r="R21" s="209" t="s">
        <v>274</v>
      </c>
      <c r="S21" s="209" t="s">
        <v>275</v>
      </c>
    </row>
    <row r="22" spans="1:33">
      <c r="A22" s="1"/>
      <c r="B22" s="1" t="s">
        <v>270</v>
      </c>
      <c r="C22" s="27" t="s">
        <v>245</v>
      </c>
      <c r="D22" s="26" t="str">
        <f>TEXT(D21, "general")</f>
        <v>2</v>
      </c>
      <c r="E22" s="202" t="s">
        <v>257</v>
      </c>
      <c r="F22" s="26" t="str">
        <f>TEXT(F21, "0")</f>
        <v>0</v>
      </c>
      <c r="G22" s="203" t="s">
        <v>368</v>
      </c>
      <c r="H22" s="26" t="str">
        <f>TEXT(H21, "#,##0")</f>
        <v>0</v>
      </c>
      <c r="I22" s="208" t="str">
        <f>I21</f>
        <v xml:space="preserve"> AFC  ) ÷ ( </v>
      </c>
      <c r="J22" s="26" t="str">
        <f>TEXT(J21, "#,##0")</f>
        <v>2,430</v>
      </c>
      <c r="K22" s="204" t="s">
        <v>369</v>
      </c>
      <c r="L22" s="26" t="str">
        <f>TEXT(L21, "0")</f>
        <v>1</v>
      </c>
      <c r="M22" s="205" t="s">
        <v>370</v>
      </c>
      <c r="N22" s="26" t="str">
        <f>TEXT(N21, "0")</f>
        <v>240</v>
      </c>
      <c r="O22" s="206" t="s">
        <v>754</v>
      </c>
      <c r="P22" s="26" t="str">
        <f>TEXT(P21, "0.000")</f>
        <v>0.000</v>
      </c>
      <c r="R22" s="209" t="s">
        <v>274</v>
      </c>
      <c r="S22" s="209" t="str">
        <f>CONCATENATE(B22,C22,D22,E22,F22,G22,H22,I22,J22,K22,L22,M22,N22,O22,P22,R22)</f>
        <v>Conductor Factor CF - Formula ( 2 X 0 L X 0 AFC  ) ÷ ( 2,430 C X 1 N X 240 PV ) = 0.000 CF</v>
      </c>
      <c r="AB22" s="24" t="s">
        <v>232</v>
      </c>
      <c r="AC22" s="1">
        <f>SUM(AC19:AC20)</f>
        <v>3</v>
      </c>
      <c r="AD22" s="1">
        <f>SUM(AD19:AD20)</f>
        <v>2</v>
      </c>
    </row>
    <row r="23" spans="1:33">
      <c r="A23" s="1"/>
      <c r="B23" s="1"/>
      <c r="C23" s="27"/>
      <c r="D23" s="202"/>
      <c r="E23" s="202"/>
      <c r="F23" s="203"/>
      <c r="G23" s="203"/>
      <c r="H23" s="208"/>
      <c r="I23" s="208"/>
      <c r="J23" s="204"/>
      <c r="K23" s="204"/>
      <c r="L23" s="205"/>
      <c r="M23" s="205"/>
      <c r="N23" s="206"/>
      <c r="O23" s="206"/>
      <c r="P23" s="209"/>
      <c r="R23" s="209"/>
      <c r="S23" s="209"/>
    </row>
    <row r="24" spans="1:33">
      <c r="A24" s="1"/>
      <c r="B24" s="1"/>
      <c r="C24" s="29" t="s">
        <v>276</v>
      </c>
      <c r="D24" s="27"/>
      <c r="E24" s="27"/>
      <c r="F24" s="27"/>
      <c r="G24" s="27"/>
      <c r="H24" s="30"/>
      <c r="I24" s="30"/>
      <c r="J24" s="27"/>
      <c r="K24" s="30"/>
      <c r="L24" s="30"/>
      <c r="M24" s="30"/>
      <c r="N24" s="1"/>
      <c r="O24" s="1"/>
      <c r="P24" s="1"/>
      <c r="R24" s="1"/>
      <c r="S24" s="1"/>
    </row>
    <row r="25" spans="1:33">
      <c r="A25" s="1"/>
      <c r="B25" s="1" t="s">
        <v>277</v>
      </c>
      <c r="C25" s="22" t="s">
        <v>278</v>
      </c>
      <c r="D25" s="435">
        <v>1</v>
      </c>
      <c r="E25" s="208" t="s">
        <v>265</v>
      </c>
      <c r="F25" s="435">
        <v>1</v>
      </c>
      <c r="G25" s="210" t="s">
        <v>279</v>
      </c>
      <c r="H25" s="436">
        <f>P21</f>
        <v>0</v>
      </c>
      <c r="I25" s="211" t="s">
        <v>280</v>
      </c>
      <c r="J25" s="207">
        <f>ROUND(D25/(F25+H25),3)</f>
        <v>1</v>
      </c>
      <c r="K25" s="212" t="s">
        <v>281</v>
      </c>
      <c r="L25" s="27"/>
      <c r="M25" s="27"/>
      <c r="N25" s="1"/>
      <c r="O25" s="1"/>
      <c r="P25" s="1"/>
      <c r="R25" s="1"/>
      <c r="S25" s="209" t="s">
        <v>275</v>
      </c>
    </row>
    <row r="26" spans="1:33">
      <c r="A26" s="1"/>
      <c r="B26" s="1" t="s">
        <v>277</v>
      </c>
      <c r="C26" s="22" t="s">
        <v>278</v>
      </c>
      <c r="D26" s="26" t="str">
        <f>TEXT(D25, "0")</f>
        <v>1</v>
      </c>
      <c r="E26" s="208" t="s">
        <v>265</v>
      </c>
      <c r="F26" s="26" t="str">
        <f>TEXT(F25, "0")</f>
        <v>1</v>
      </c>
      <c r="G26" s="210" t="s">
        <v>279</v>
      </c>
      <c r="H26" s="26" t="str">
        <f>TEXT(H25, "0.000")</f>
        <v>0.000</v>
      </c>
      <c r="I26" s="211" t="s">
        <v>280</v>
      </c>
      <c r="J26" s="26" t="str">
        <f>TEXT(J25, "0.000")</f>
        <v>1.000</v>
      </c>
      <c r="K26" s="212" t="s">
        <v>281</v>
      </c>
      <c r="L26" s="27"/>
      <c r="M26" s="27"/>
      <c r="N26" s="1"/>
      <c r="O26" s="1"/>
      <c r="P26" s="1"/>
      <c r="R26" s="1"/>
      <c r="S26" s="209" t="str">
        <f>CONCATENATE(B26,C26,D26,E26,F26,G26,H26,I26,J26,K26)</f>
        <v xml:space="preserve">Conductor Multiplier CM - Formula  ( 1 ) ÷ ( 1 + 0.000 CF ) = 1.000 CM </v>
      </c>
    </row>
    <row r="27" spans="1:33">
      <c r="A27" s="1"/>
      <c r="B27" s="1"/>
      <c r="C27" s="22"/>
      <c r="D27" s="213"/>
      <c r="E27" s="213"/>
      <c r="F27" s="210"/>
      <c r="G27" s="210"/>
      <c r="H27" s="211"/>
      <c r="I27" s="211"/>
      <c r="J27" s="212"/>
      <c r="K27" s="212"/>
      <c r="L27" s="27"/>
      <c r="M27" s="27"/>
      <c r="N27" s="1"/>
      <c r="O27" s="1"/>
      <c r="P27" s="1"/>
      <c r="R27" s="1"/>
      <c r="S27" s="1"/>
      <c r="AB27" s="24">
        <f>AD22</f>
        <v>2</v>
      </c>
      <c r="AC27" s="16"/>
    </row>
    <row r="28" spans="1:33">
      <c r="A28" s="1"/>
      <c r="B28" s="1"/>
      <c r="C28" s="24" t="s">
        <v>282</v>
      </c>
      <c r="D28" s="22"/>
      <c r="E28" s="22"/>
      <c r="F28" s="22"/>
      <c r="G28" s="22"/>
      <c r="H28" s="1"/>
      <c r="I28" s="1"/>
      <c r="J28" s="1"/>
      <c r="K28" s="1"/>
      <c r="L28" s="214"/>
      <c r="M28" s="214"/>
      <c r="N28" s="1"/>
      <c r="O28" s="1"/>
      <c r="P28" s="1"/>
      <c r="R28" s="1"/>
      <c r="S28" s="1"/>
    </row>
    <row r="29" spans="1:33">
      <c r="A29" s="1"/>
      <c r="B29" s="1" t="s">
        <v>283</v>
      </c>
      <c r="C29" s="22" t="s">
        <v>245</v>
      </c>
      <c r="D29" s="437">
        <f>H21</f>
        <v>0</v>
      </c>
      <c r="E29" s="215" t="s">
        <v>367</v>
      </c>
      <c r="F29" s="436">
        <f>J25</f>
        <v>1</v>
      </c>
      <c r="G29" s="216" t="s">
        <v>284</v>
      </c>
      <c r="H29" s="437">
        <f>ROUND((D29*F29),3)</f>
        <v>0</v>
      </c>
      <c r="I29" s="217" t="s">
        <v>285</v>
      </c>
      <c r="J29" s="29"/>
      <c r="K29" s="29"/>
      <c r="L29" s="1"/>
      <c r="M29" s="1"/>
      <c r="N29" s="1"/>
      <c r="O29" s="1"/>
      <c r="P29" s="1"/>
      <c r="R29" s="1"/>
      <c r="S29" s="209" t="s">
        <v>275</v>
      </c>
      <c r="AB29" s="24">
        <f t="shared" ref="AB29:AB50" si="0">IF($AB$27=1,AD29,IF($AB$27=2,AE29,IF($AB$27=3,AF29,IF($AB$27=4,AG29,"ERROR"))))</f>
        <v>2</v>
      </c>
      <c r="AD29" s="1">
        <v>1</v>
      </c>
      <c r="AE29" s="1">
        <v>2</v>
      </c>
      <c r="AF29" s="1">
        <v>3</v>
      </c>
      <c r="AG29" s="1">
        <v>4</v>
      </c>
    </row>
    <row r="30" spans="1:33">
      <c r="A30" s="1"/>
      <c r="B30" s="1" t="s">
        <v>283</v>
      </c>
      <c r="C30" s="22" t="s">
        <v>245</v>
      </c>
      <c r="D30" s="26" t="str">
        <f>TEXT(D29, "#,##0")</f>
        <v>0</v>
      </c>
      <c r="E30" s="215" t="str">
        <f>E29</f>
        <v xml:space="preserve"> AFC X </v>
      </c>
      <c r="F30" s="26" t="str">
        <f>TEXT(F29, "0.000")</f>
        <v>1.000</v>
      </c>
      <c r="G30" s="216" t="s">
        <v>284</v>
      </c>
      <c r="H30" s="26" t="str">
        <f>TEXT(H29, "#,##0")</f>
        <v>0</v>
      </c>
      <c r="I30" s="217" t="s">
        <v>285</v>
      </c>
      <c r="J30" s="29"/>
      <c r="K30" s="29"/>
      <c r="L30" s="1" t="str">
        <f>CONCATENATE(H30,I30)</f>
        <v>0 CLC</v>
      </c>
      <c r="M30" s="1"/>
      <c r="N30" s="1"/>
      <c r="O30" s="1"/>
      <c r="P30" s="1"/>
      <c r="R30" s="1"/>
      <c r="S30" s="209" t="str">
        <f>CONCATENATE(B30,C30,D30,E30,F30,G30,H30,I30)</f>
        <v>Conductor Let-Through Current CLC - Formula ( 0 AFC X 1.000 CM ) = 0 CLC</v>
      </c>
      <c r="AB30" s="24" t="str">
        <f t="shared" si="0"/>
        <v>Nonmagnetic Conduit</v>
      </c>
      <c r="AC30" s="1" t="s">
        <v>286</v>
      </c>
      <c r="AD30" s="16" t="s">
        <v>287</v>
      </c>
      <c r="AE30" s="16" t="s">
        <v>288</v>
      </c>
      <c r="AF30" s="16" t="s">
        <v>287</v>
      </c>
      <c r="AG30" s="16" t="s">
        <v>288</v>
      </c>
    </row>
    <row r="31" spans="1:33">
      <c r="A31" s="1"/>
      <c r="B31" s="1"/>
      <c r="C31" s="27"/>
      <c r="D31" s="26"/>
      <c r="E31" s="27"/>
      <c r="F31" s="29"/>
      <c r="G31" s="29"/>
      <c r="H31" s="24"/>
      <c r="I31" s="27"/>
      <c r="J31" s="22"/>
      <c r="K31" s="22"/>
      <c r="L31" s="27"/>
      <c r="M31" s="27"/>
      <c r="N31" s="1"/>
      <c r="O31" s="1"/>
      <c r="P31" s="1"/>
      <c r="AB31" s="24" t="str">
        <f t="shared" si="0"/>
        <v>3 or 4 Single</v>
      </c>
      <c r="AD31" s="1" t="s">
        <v>289</v>
      </c>
      <c r="AE31" s="1" t="s">
        <v>289</v>
      </c>
      <c r="AF31" s="1" t="s">
        <v>289</v>
      </c>
      <c r="AG31" s="1" t="s">
        <v>289</v>
      </c>
    </row>
    <row r="32" spans="1:33">
      <c r="A32" s="1"/>
      <c r="B32" s="1"/>
      <c r="C32" s="27"/>
      <c r="D32" s="214"/>
      <c r="E32" s="218" t="str">
        <f>CONCATENATE(B30,C30,D30,E30,F30,G30,H30,I30)</f>
        <v>Conductor Let-Through Current CLC - Formula ( 0 AFC X 1.000 CM ) = 0 CLC</v>
      </c>
      <c r="F32" s="36"/>
      <c r="G32" s="36"/>
      <c r="H32" s="28"/>
      <c r="I32" s="28"/>
      <c r="J32" s="22"/>
      <c r="K32" s="22"/>
      <c r="L32" s="27"/>
      <c r="M32" s="27"/>
      <c r="N32" s="1"/>
      <c r="O32" s="1"/>
      <c r="P32" s="1"/>
      <c r="X32" s="1" t="s">
        <v>290</v>
      </c>
      <c r="Y32" s="16" t="str">
        <f>'S-Input'!CY57</f>
        <v>#6</v>
      </c>
      <c r="Z32" s="1">
        <f>MATCH(Y32,AC$33:AC$50,0)</f>
        <v>5</v>
      </c>
      <c r="AB32" s="24" t="str">
        <f t="shared" si="0"/>
        <v>Cables CU</v>
      </c>
      <c r="AD32" s="1" t="s">
        <v>291</v>
      </c>
      <c r="AE32" s="1" t="s">
        <v>291</v>
      </c>
      <c r="AF32" s="1" t="s">
        <v>292</v>
      </c>
      <c r="AG32" s="1" t="s">
        <v>292</v>
      </c>
    </row>
    <row r="33" spans="24:33">
      <c r="Y33" s="16"/>
      <c r="AA33" s="1">
        <v>1</v>
      </c>
      <c r="AB33" s="24">
        <f t="shared" si="0"/>
        <v>389</v>
      </c>
      <c r="AC33" s="1" t="s">
        <v>293</v>
      </c>
      <c r="AD33" s="1">
        <v>389</v>
      </c>
      <c r="AE33" s="1">
        <v>389</v>
      </c>
      <c r="AF33" s="1">
        <v>237</v>
      </c>
      <c r="AG33" s="1">
        <v>237</v>
      </c>
    </row>
    <row r="34" spans="24:33">
      <c r="Y34" s="16"/>
      <c r="AA34" s="1">
        <v>2</v>
      </c>
      <c r="AB34" s="24">
        <f t="shared" si="0"/>
        <v>617</v>
      </c>
      <c r="AC34" s="1" t="s">
        <v>294</v>
      </c>
      <c r="AD34" s="1">
        <v>617</v>
      </c>
      <c r="AE34" s="1">
        <v>617</v>
      </c>
      <c r="AF34" s="1">
        <v>376</v>
      </c>
      <c r="AG34" s="1">
        <v>376</v>
      </c>
    </row>
    <row r="35" spans="24:33">
      <c r="Y35" s="16"/>
      <c r="AA35" s="1">
        <v>3</v>
      </c>
      <c r="AB35" s="24">
        <f t="shared" si="0"/>
        <v>982</v>
      </c>
      <c r="AC35" s="1" t="s">
        <v>169</v>
      </c>
      <c r="AD35" s="1">
        <v>981</v>
      </c>
      <c r="AE35" s="1">
        <v>982</v>
      </c>
      <c r="AF35" s="1">
        <v>599</v>
      </c>
      <c r="AG35" s="1">
        <v>599</v>
      </c>
    </row>
    <row r="36" spans="24:33">
      <c r="Y36" s="16"/>
      <c r="AA36" s="1">
        <v>4</v>
      </c>
      <c r="AB36" s="24">
        <f t="shared" si="0"/>
        <v>1559</v>
      </c>
      <c r="AC36" s="1" t="s">
        <v>173</v>
      </c>
      <c r="AD36" s="1">
        <v>1557</v>
      </c>
      <c r="AE36" s="1">
        <v>1559</v>
      </c>
      <c r="AF36" s="1">
        <v>951</v>
      </c>
      <c r="AG36" s="1">
        <v>952</v>
      </c>
    </row>
    <row r="37" spans="24:33">
      <c r="Y37" s="16"/>
      <c r="AA37" s="1">
        <v>5</v>
      </c>
      <c r="AB37" s="24">
        <f t="shared" si="0"/>
        <v>2430</v>
      </c>
      <c r="AC37" s="1" t="s">
        <v>76</v>
      </c>
      <c r="AD37" s="1">
        <v>2425</v>
      </c>
      <c r="AE37" s="1">
        <v>2430</v>
      </c>
      <c r="AF37" s="1">
        <v>1481</v>
      </c>
      <c r="AG37" s="1">
        <v>1482</v>
      </c>
    </row>
    <row r="38" spans="24:33">
      <c r="Y38" s="16"/>
      <c r="AA38" s="1">
        <v>6</v>
      </c>
      <c r="AB38" s="24">
        <f t="shared" si="0"/>
        <v>3826</v>
      </c>
      <c r="AC38" s="1" t="s">
        <v>80</v>
      </c>
      <c r="AD38" s="1">
        <v>3806</v>
      </c>
      <c r="AE38" s="1">
        <v>3826</v>
      </c>
      <c r="AF38" s="1">
        <v>2346</v>
      </c>
      <c r="AG38" s="1">
        <v>2350</v>
      </c>
    </row>
    <row r="39" spans="24:33">
      <c r="Y39" s="16"/>
      <c r="AA39" s="1">
        <v>7</v>
      </c>
      <c r="AB39" s="24">
        <f t="shared" si="0"/>
        <v>4811</v>
      </c>
      <c r="AC39" s="1" t="s">
        <v>84</v>
      </c>
      <c r="AD39" s="1">
        <v>4774</v>
      </c>
      <c r="AE39" s="1">
        <v>4811</v>
      </c>
      <c r="AF39" s="1">
        <v>2952</v>
      </c>
      <c r="AG39" s="1">
        <v>2961</v>
      </c>
    </row>
    <row r="40" spans="24:33">
      <c r="AA40" s="1">
        <v>8</v>
      </c>
      <c r="AB40" s="24">
        <f t="shared" si="0"/>
        <v>6044</v>
      </c>
      <c r="AC40" s="1" t="s">
        <v>83</v>
      </c>
      <c r="AD40" s="1">
        <v>5907</v>
      </c>
      <c r="AE40" s="1">
        <v>6044</v>
      </c>
      <c r="AF40" s="1">
        <v>3713</v>
      </c>
      <c r="AG40" s="1">
        <v>3730</v>
      </c>
    </row>
    <row r="41" spans="24:33">
      <c r="Z41" s="1">
        <f>Z32</f>
        <v>5</v>
      </c>
      <c r="AA41" s="1">
        <v>9</v>
      </c>
      <c r="AB41" s="24">
        <f t="shared" si="0"/>
        <v>7493</v>
      </c>
      <c r="AC41" s="1" t="s">
        <v>87</v>
      </c>
      <c r="AD41" s="1">
        <v>7293</v>
      </c>
      <c r="AE41" s="1">
        <v>7493</v>
      </c>
      <c r="AF41" s="1">
        <v>4645</v>
      </c>
      <c r="AG41" s="1">
        <v>4678</v>
      </c>
    </row>
    <row r="42" spans="24:33">
      <c r="X42" s="16"/>
      <c r="AA42" s="1">
        <v>10</v>
      </c>
      <c r="AB42" s="24">
        <f t="shared" si="0"/>
        <v>9317</v>
      </c>
      <c r="AC42" s="1" t="s">
        <v>93</v>
      </c>
      <c r="AD42" s="1">
        <v>8925</v>
      </c>
      <c r="AE42" s="1">
        <v>9317</v>
      </c>
      <c r="AF42" s="1">
        <v>5777</v>
      </c>
      <c r="AG42" s="1">
        <v>5838</v>
      </c>
    </row>
    <row r="43" spans="24:33">
      <c r="X43" s="194"/>
      <c r="Y43" s="194"/>
      <c r="AA43" s="1">
        <v>11</v>
      </c>
      <c r="AB43" s="24">
        <f t="shared" si="0"/>
        <v>11424</v>
      </c>
      <c r="AC43" s="1" t="s">
        <v>97</v>
      </c>
      <c r="AD43" s="1">
        <v>10755</v>
      </c>
      <c r="AE43" s="1">
        <v>11424</v>
      </c>
      <c r="AF43" s="1">
        <v>7187</v>
      </c>
      <c r="AG43" s="1">
        <v>7301</v>
      </c>
    </row>
    <row r="44" spans="24:33">
      <c r="X44" s="194"/>
      <c r="Y44" s="194"/>
      <c r="AA44" s="1">
        <v>12</v>
      </c>
      <c r="AB44" s="24">
        <f t="shared" si="0"/>
        <v>13923</v>
      </c>
      <c r="AC44" s="1" t="s">
        <v>101</v>
      </c>
      <c r="AD44" s="1">
        <v>12844</v>
      </c>
      <c r="AE44" s="1">
        <v>13923</v>
      </c>
      <c r="AF44" s="1">
        <v>8826</v>
      </c>
      <c r="AG44" s="1">
        <v>9110</v>
      </c>
    </row>
    <row r="45" spans="24:33">
      <c r="X45" s="194"/>
      <c r="Y45" s="194"/>
      <c r="AA45" s="1">
        <v>13</v>
      </c>
      <c r="AB45" s="24">
        <f t="shared" si="0"/>
        <v>16673</v>
      </c>
      <c r="AC45" s="1" t="s">
        <v>103</v>
      </c>
      <c r="AD45" s="1">
        <v>15082</v>
      </c>
      <c r="AE45" s="1">
        <v>16673</v>
      </c>
      <c r="AF45" s="1">
        <v>10741</v>
      </c>
      <c r="AG45" s="1">
        <v>11174</v>
      </c>
    </row>
    <row r="46" spans="24:33">
      <c r="X46" s="194"/>
      <c r="Y46" s="194"/>
      <c r="AA46" s="1">
        <v>14</v>
      </c>
      <c r="AB46" s="24">
        <f t="shared" si="0"/>
        <v>18594</v>
      </c>
      <c r="AC46" s="1" t="s">
        <v>106</v>
      </c>
      <c r="AD46" s="1">
        <v>16483</v>
      </c>
      <c r="AE46" s="1">
        <v>18594</v>
      </c>
      <c r="AF46" s="1">
        <v>12122</v>
      </c>
      <c r="AG46" s="1">
        <v>12862</v>
      </c>
    </row>
    <row r="47" spans="24:33">
      <c r="X47" s="194"/>
      <c r="Y47" s="194"/>
      <c r="Z47" s="194"/>
      <c r="AA47" s="1">
        <v>15</v>
      </c>
      <c r="AB47" s="24">
        <f t="shared" si="0"/>
        <v>20868</v>
      </c>
      <c r="AC47" s="1" t="s">
        <v>109</v>
      </c>
      <c r="AD47" s="1">
        <v>18177</v>
      </c>
      <c r="AE47" s="1">
        <v>20868</v>
      </c>
      <c r="AF47" s="1">
        <v>13910</v>
      </c>
      <c r="AG47" s="1">
        <v>14923</v>
      </c>
    </row>
    <row r="48" spans="24:33">
      <c r="AA48" s="1">
        <v>16</v>
      </c>
      <c r="AB48" s="24">
        <f t="shared" si="0"/>
        <v>22737</v>
      </c>
      <c r="AC48" s="1" t="s">
        <v>112</v>
      </c>
      <c r="AD48" s="1">
        <v>19704</v>
      </c>
      <c r="AE48" s="1">
        <v>22737</v>
      </c>
      <c r="AF48" s="1">
        <v>15484</v>
      </c>
      <c r="AG48" s="1">
        <v>16813</v>
      </c>
    </row>
    <row r="49" spans="24:33">
      <c r="X49" s="194"/>
      <c r="AA49" s="1">
        <v>17</v>
      </c>
      <c r="AB49" s="24">
        <f t="shared" si="0"/>
        <v>24297</v>
      </c>
      <c r="AC49" s="1" t="s">
        <v>114</v>
      </c>
      <c r="AD49" s="1">
        <v>20566</v>
      </c>
      <c r="AE49" s="1">
        <v>24297</v>
      </c>
      <c r="AF49" s="1">
        <v>16671</v>
      </c>
      <c r="AG49" s="1">
        <v>18506</v>
      </c>
    </row>
    <row r="50" spans="24:33">
      <c r="X50" s="194"/>
      <c r="Y50" s="194"/>
      <c r="AA50" s="1">
        <v>18</v>
      </c>
      <c r="AB50" s="24">
        <f t="shared" si="0"/>
        <v>26706</v>
      </c>
      <c r="AC50" s="1" t="s">
        <v>116</v>
      </c>
      <c r="AD50" s="1">
        <v>22185</v>
      </c>
      <c r="AE50" s="1">
        <v>26706</v>
      </c>
      <c r="AF50" s="1">
        <v>18756</v>
      </c>
      <c r="AG50" s="1">
        <v>21391</v>
      </c>
    </row>
    <row r="55" spans="24:33">
      <c r="AA55" s="1">
        <f>IF(ISNA(VLOOKUP(Z41,AA33:AB53,2)=TRUE),0,VLOOKUP(Z41,AA33:AB53,2))</f>
        <v>2430</v>
      </c>
      <c r="AB55" s="24" t="str">
        <f>IF(ISNA(VLOOKUP(Z41,AA33:AC53,3)=TRUE),0,VLOOKUP(Z41,AA33:AC53,3))</f>
        <v>#6</v>
      </c>
    </row>
    <row r="58" spans="24:33">
      <c r="AB58" s="1"/>
    </row>
    <row r="59" spans="24:33">
      <c r="Y59" s="16"/>
      <c r="AB59" s="1"/>
    </row>
    <row r="60" spans="24:33">
      <c r="Y60" s="16"/>
      <c r="AB60" s="1"/>
    </row>
    <row r="61" spans="24:33">
      <c r="Y61" s="16"/>
      <c r="AB61" s="1"/>
    </row>
    <row r="62" spans="24:33">
      <c r="AB62" s="1"/>
    </row>
    <row r="63" spans="24:33">
      <c r="AB63" s="1"/>
    </row>
    <row r="64" spans="24:33">
      <c r="AB64" s="1"/>
    </row>
    <row r="65" spans="28:29">
      <c r="AB65" s="1"/>
    </row>
    <row r="66" spans="28:29">
      <c r="AB66" s="1"/>
    </row>
    <row r="67" spans="28:29">
      <c r="AB67" s="1"/>
    </row>
    <row r="68" spans="28:29">
      <c r="AB68" s="1"/>
    </row>
    <row r="69" spans="28:29">
      <c r="AB69" s="1"/>
    </row>
    <row r="70" spans="28:29">
      <c r="AB70" s="1"/>
    </row>
    <row r="73" spans="28:29">
      <c r="AC73" s="220"/>
    </row>
    <row r="74" spans="28:29">
      <c r="AC74" s="24"/>
    </row>
    <row r="75" spans="28:29">
      <c r="AC75" s="219"/>
    </row>
    <row r="76" spans="28:29">
      <c r="AC76" s="24"/>
    </row>
    <row r="77" spans="28:29">
      <c r="AC77" s="23"/>
    </row>
    <row r="78" spans="28:29">
      <c r="AC78" s="23"/>
    </row>
    <row r="79" spans="28:29">
      <c r="AC79" s="23"/>
    </row>
    <row r="80" spans="28:29">
      <c r="AC80" s="23"/>
    </row>
    <row r="81" spans="28:29">
      <c r="AB81" s="23"/>
      <c r="AC81" s="24"/>
    </row>
    <row r="82" spans="28:29">
      <c r="AB82" s="23"/>
      <c r="AC82" s="24"/>
    </row>
    <row r="83" spans="28:29">
      <c r="AB83" s="23"/>
      <c r="AC83" s="24"/>
    </row>
    <row r="84" spans="28:29">
      <c r="AB84" s="23"/>
      <c r="AC84" s="24"/>
    </row>
    <row r="85" spans="28:29">
      <c r="AB85" s="23"/>
      <c r="AC85" s="24"/>
    </row>
    <row r="86" spans="28:29">
      <c r="AB86" s="23"/>
      <c r="AC86" s="24"/>
    </row>
    <row r="87" spans="28:29">
      <c r="AB87" s="23"/>
      <c r="AC87" s="24"/>
    </row>
    <row r="88" spans="28:29">
      <c r="AB88" s="23"/>
      <c r="AC88" s="24"/>
    </row>
    <row r="89" spans="28:29">
      <c r="AB89" s="23"/>
      <c r="AC89" s="24"/>
    </row>
    <row r="90" spans="28:29">
      <c r="AB90" s="23"/>
      <c r="AC90" s="24"/>
    </row>
    <row r="91" spans="28:29">
      <c r="AB91" s="23"/>
      <c r="AC91" s="24"/>
    </row>
    <row r="92" spans="28:29">
      <c r="AB92" s="23"/>
      <c r="AC92" s="24"/>
    </row>
    <row r="93" spans="28:29">
      <c r="AB93" s="23"/>
      <c r="AC93" s="24"/>
    </row>
    <row r="94" spans="28:29">
      <c r="AB94" s="23"/>
      <c r="AC94" s="24"/>
    </row>
    <row r="95" spans="28:29">
      <c r="AB95" s="23"/>
      <c r="AC95" s="24"/>
    </row>
    <row r="96" spans="28:29">
      <c r="AB96" s="23"/>
      <c r="AC96" s="24"/>
    </row>
    <row r="97" spans="28:29">
      <c r="AB97" s="23"/>
      <c r="AC97" s="24"/>
    </row>
    <row r="98" spans="28:29">
      <c r="AB98" s="23"/>
      <c r="AC98" s="24"/>
    </row>
    <row r="99" spans="28:29">
      <c r="AB99" s="23"/>
      <c r="AC99" s="24"/>
    </row>
    <row r="100" spans="28:29">
      <c r="AB100" s="23"/>
      <c r="AC100" s="2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K77"/>
  <sheetViews>
    <sheetView workbookViewId="0">
      <selection sqref="A1:IV65536"/>
    </sheetView>
  </sheetViews>
  <sheetFormatPr defaultColWidth="10.6640625" defaultRowHeight="11.25"/>
  <cols>
    <col min="1" max="1" width="10.6640625" style="381" customWidth="1"/>
    <col min="2" max="2" width="40" style="381" customWidth="1"/>
    <col min="3" max="3" width="5.33203125" style="382" customWidth="1"/>
    <col min="4" max="4" width="11" style="382" customWidth="1"/>
    <col min="5" max="5" width="10" style="382" customWidth="1"/>
    <col min="6" max="6" width="10.6640625" style="382" customWidth="1"/>
    <col min="7" max="7" width="8.33203125" style="382" customWidth="1"/>
    <col min="8" max="8" width="13.6640625" style="381" customWidth="1"/>
    <col min="9" max="9" width="9.5" style="381" customWidth="1"/>
    <col min="10" max="10" width="11.83203125" style="381" customWidth="1"/>
    <col min="11" max="11" width="8" style="381" customWidth="1"/>
    <col min="12" max="12" width="10.6640625" style="381" customWidth="1"/>
    <col min="13" max="13" width="7" style="381" customWidth="1"/>
    <col min="14" max="16" width="10.6640625" style="381" customWidth="1"/>
    <col min="17" max="17" width="12.6640625" style="381" bestFit="1" customWidth="1"/>
    <col min="18" max="22" width="10.6640625" style="381" customWidth="1"/>
    <col min="23" max="23" width="51.1640625" style="381" customWidth="1"/>
    <col min="24" max="26" width="10.6640625" style="381" customWidth="1"/>
    <col min="27" max="27" width="16.5" style="381" customWidth="1"/>
    <col min="28" max="28" width="22" style="385" customWidth="1"/>
    <col min="29" max="29" width="20.33203125" style="381" customWidth="1"/>
    <col min="30" max="31" width="12.5" style="381" customWidth="1"/>
    <col min="32" max="32" width="16.6640625" style="381" customWidth="1"/>
    <col min="33" max="33" width="17.1640625" style="381" customWidth="1"/>
    <col min="34" max="34" width="22.5" style="381" customWidth="1"/>
    <col min="35" max="35" width="21.1640625" style="381" customWidth="1"/>
    <col min="36" max="38" width="12.5" style="381" customWidth="1"/>
    <col min="39" max="16384" width="10.6640625" style="381"/>
  </cols>
  <sheetData>
    <row r="1" spans="2:37">
      <c r="D1" s="383" t="s">
        <v>295</v>
      </c>
      <c r="E1" s="384"/>
      <c r="F1" s="385"/>
      <c r="G1" s="385"/>
      <c r="H1" s="438" t="str">
        <f>'Short Primary'!H30</f>
        <v>0</v>
      </c>
      <c r="I1" s="385" t="s">
        <v>298</v>
      </c>
      <c r="J1" s="382"/>
      <c r="K1" s="382"/>
      <c r="L1" s="382"/>
    </row>
    <row r="2" spans="2:37">
      <c r="D2" s="383" t="s">
        <v>295</v>
      </c>
      <c r="E2" s="386"/>
      <c r="F2" s="387"/>
      <c r="G2" s="387"/>
      <c r="H2" s="388" t="str">
        <f>TEXT(H1, "#,##0")</f>
        <v>0</v>
      </c>
      <c r="I2" s="385" t="s">
        <v>298</v>
      </c>
      <c r="J2" s="387"/>
      <c r="K2" s="387"/>
      <c r="L2" s="382" t="str">
        <f>CONCATENATE(H2,I2)</f>
        <v>0 AFC</v>
      </c>
      <c r="T2" s="381" t="str">
        <f>CONCATENATE(D2,H2,I2)</f>
        <v>Available Fault Current at Starting Point 0 AFC</v>
      </c>
      <c r="AB2" s="385">
        <f>Y8</f>
        <v>4</v>
      </c>
      <c r="AC2" s="389"/>
    </row>
    <row r="3" spans="2:37">
      <c r="C3" s="390" t="s">
        <v>596</v>
      </c>
      <c r="D3" s="385"/>
      <c r="E3" s="385"/>
    </row>
    <row r="4" spans="2:37">
      <c r="C4" s="390" t="s">
        <v>264</v>
      </c>
      <c r="D4" s="387"/>
      <c r="E4" s="387"/>
      <c r="F4" s="387"/>
      <c r="G4" s="387"/>
      <c r="H4" s="391"/>
      <c r="I4" s="391"/>
      <c r="J4" s="391"/>
      <c r="K4" s="391"/>
      <c r="L4" s="391"/>
      <c r="M4" s="391"/>
      <c r="P4" s="382"/>
      <c r="Q4" s="382"/>
      <c r="AB4" s="385">
        <f>IF(AB$2=2,AD4,IF(AB$2=3,AF4,IF(AB$2=4,AH4,IF(AB$2=5,AJ4,0))))</f>
        <v>4</v>
      </c>
      <c r="AD4" s="420">
        <v>2</v>
      </c>
      <c r="AF4" s="420">
        <v>3</v>
      </c>
      <c r="AH4" s="420">
        <v>4</v>
      </c>
      <c r="AJ4" s="420">
        <v>5</v>
      </c>
      <c r="AK4" s="381">
        <v>10</v>
      </c>
    </row>
    <row r="5" spans="2:37">
      <c r="B5" s="381" t="s">
        <v>270</v>
      </c>
      <c r="C5" s="387" t="s">
        <v>245</v>
      </c>
      <c r="D5" s="439">
        <f>IF('S-Input'!H8=1,2,1.732)</f>
        <v>2</v>
      </c>
      <c r="E5" s="392" t="s">
        <v>266</v>
      </c>
      <c r="F5" s="440">
        <f>'S-Input'!H17</f>
        <v>50</v>
      </c>
      <c r="G5" s="393" t="s">
        <v>271</v>
      </c>
      <c r="H5" s="445" t="e">
        <f>P27</f>
        <v>#DIV/0!</v>
      </c>
      <c r="I5" s="388" t="s">
        <v>859</v>
      </c>
      <c r="J5" s="445">
        <f>AA34</f>
        <v>1481</v>
      </c>
      <c r="K5" s="395" t="s">
        <v>272</v>
      </c>
      <c r="L5" s="440">
        <f>'S-Input'!DA54</f>
        <v>1</v>
      </c>
      <c r="M5" s="396" t="s">
        <v>273</v>
      </c>
      <c r="N5" s="448">
        <f>'S-Input'!H6</f>
        <v>240</v>
      </c>
      <c r="O5" s="397" t="s">
        <v>597</v>
      </c>
      <c r="P5" s="419" t="e">
        <f>ROUND((D5*F5*H5)/(J5*L5*N5),3)</f>
        <v>#DIV/0!</v>
      </c>
      <c r="Q5" s="398"/>
      <c r="R5" s="399" t="s">
        <v>274</v>
      </c>
      <c r="S5" s="399" t="s">
        <v>275</v>
      </c>
      <c r="T5" s="399"/>
      <c r="U5" s="399"/>
      <c r="V5" s="399"/>
      <c r="X5" s="389" t="str">
        <f>'S-Input'!H18</f>
        <v>EMT</v>
      </c>
      <c r="Y5" s="381">
        <f>IF(X5&lt;&gt;"PVC-40",1,2)</f>
        <v>1</v>
      </c>
      <c r="AB5" s="385" t="str">
        <f t="shared" ref="AB5:AB28" si="0">IF(AB$2=2,AD5,IF(AB$2=3,AF5,IF(AB$2=4,AH5,IF(AB$2=5,AJ5,0))))</f>
        <v>Steel Conduit</v>
      </c>
      <c r="AC5" s="381" t="s">
        <v>286</v>
      </c>
      <c r="AD5" s="389" t="s">
        <v>287</v>
      </c>
      <c r="AE5" s="389" t="s">
        <v>287</v>
      </c>
      <c r="AF5" s="389" t="s">
        <v>288</v>
      </c>
      <c r="AG5" s="389" t="s">
        <v>288</v>
      </c>
      <c r="AH5" s="389" t="s">
        <v>287</v>
      </c>
      <c r="AI5" s="389" t="s">
        <v>287</v>
      </c>
      <c r="AJ5" s="389" t="s">
        <v>288</v>
      </c>
      <c r="AK5" s="389" t="s">
        <v>288</v>
      </c>
    </row>
    <row r="6" spans="2:37">
      <c r="B6" s="381" t="s">
        <v>270</v>
      </c>
      <c r="C6" s="387" t="s">
        <v>245</v>
      </c>
      <c r="D6" s="388" t="str">
        <f>TEXT(D5, "0.000")</f>
        <v>2.000</v>
      </c>
      <c r="E6" s="392" t="s">
        <v>266</v>
      </c>
      <c r="F6" s="388" t="str">
        <f>TEXT(F5, "0")</f>
        <v>50</v>
      </c>
      <c r="G6" s="393" t="s">
        <v>271</v>
      </c>
      <c r="H6" s="388" t="e">
        <f>TEXT(H5, "#,##0")</f>
        <v>#DIV/0!</v>
      </c>
      <c r="I6" s="400" t="str">
        <f>I5</f>
        <v xml:space="preserve"> TLC ) ÷ (</v>
      </c>
      <c r="J6" s="388" t="str">
        <f>TEXT(J5, "#,##0")</f>
        <v>1,481</v>
      </c>
      <c r="K6" s="395" t="s">
        <v>272</v>
      </c>
      <c r="L6" s="388" t="str">
        <f>TEXT(L5, "0")</f>
        <v>1</v>
      </c>
      <c r="M6" s="396" t="s">
        <v>273</v>
      </c>
      <c r="N6" s="388" t="str">
        <f>TEXT(N5, "0")</f>
        <v>240</v>
      </c>
      <c r="O6" s="397" t="s">
        <v>597</v>
      </c>
      <c r="P6" s="388" t="e">
        <f>TEXT(P5, "0.000")</f>
        <v>#DIV/0!</v>
      </c>
      <c r="Q6" s="388"/>
      <c r="R6" s="399" t="s">
        <v>274</v>
      </c>
      <c r="S6" s="399" t="e">
        <f>CONCATENATE(B6,C6,D6,E6,F6,G6,H6,I6,J6,K6,L6,M6,N6,O6,P6,R6)</f>
        <v>#DIV/0!</v>
      </c>
      <c r="T6" s="399"/>
      <c r="U6" s="399"/>
      <c r="X6" s="389" t="str">
        <f>'S-Input'!H15</f>
        <v>AL</v>
      </c>
      <c r="Y6" s="381">
        <f>IF(X6&lt;&gt;"AL",1,3)</f>
        <v>3</v>
      </c>
      <c r="AB6" s="385" t="str">
        <f t="shared" si="0"/>
        <v>3 or 4 Single</v>
      </c>
      <c r="AD6" s="381" t="s">
        <v>289</v>
      </c>
      <c r="AE6" s="381" t="s">
        <v>598</v>
      </c>
      <c r="AF6" s="381" t="s">
        <v>289</v>
      </c>
      <c r="AG6" s="381" t="s">
        <v>598</v>
      </c>
      <c r="AH6" s="381" t="s">
        <v>289</v>
      </c>
      <c r="AI6" s="381" t="s">
        <v>598</v>
      </c>
      <c r="AJ6" s="381" t="s">
        <v>289</v>
      </c>
      <c r="AK6" s="381" t="s">
        <v>598</v>
      </c>
    </row>
    <row r="7" spans="2:37">
      <c r="C7" s="387"/>
      <c r="D7" s="392"/>
      <c r="E7" s="392"/>
      <c r="F7" s="393"/>
      <c r="G7" s="393"/>
      <c r="H7" s="400"/>
      <c r="I7" s="400"/>
      <c r="J7" s="395"/>
      <c r="K7" s="395"/>
      <c r="L7" s="396"/>
      <c r="M7" s="396"/>
      <c r="N7" s="397"/>
      <c r="O7" s="397"/>
      <c r="P7" s="399"/>
      <c r="Q7" s="399"/>
      <c r="R7" s="399"/>
      <c r="S7" s="399"/>
      <c r="T7" s="399"/>
      <c r="U7" s="399"/>
      <c r="AB7" s="385" t="str">
        <f t="shared" si="0"/>
        <v>Cables AL</v>
      </c>
      <c r="AD7" s="381" t="s">
        <v>291</v>
      </c>
      <c r="AE7" s="381" t="s">
        <v>291</v>
      </c>
      <c r="AF7" s="381" t="s">
        <v>291</v>
      </c>
      <c r="AG7" s="381" t="s">
        <v>291</v>
      </c>
      <c r="AH7" s="381" t="s">
        <v>292</v>
      </c>
      <c r="AI7" s="381" t="s">
        <v>292</v>
      </c>
      <c r="AJ7" s="381" t="s">
        <v>292</v>
      </c>
      <c r="AK7" s="381" t="s">
        <v>292</v>
      </c>
    </row>
    <row r="8" spans="2:37">
      <c r="C8" s="390" t="s">
        <v>599</v>
      </c>
      <c r="D8" s="387"/>
      <c r="E8" s="387"/>
      <c r="F8" s="387"/>
      <c r="G8" s="387"/>
      <c r="H8" s="391"/>
      <c r="I8" s="391"/>
      <c r="J8" s="387"/>
      <c r="K8" s="391"/>
      <c r="L8" s="391"/>
      <c r="M8" s="391"/>
      <c r="Y8" s="381">
        <f>SUM(Y5:Y6)</f>
        <v>4</v>
      </c>
      <c r="AA8" s="381">
        <v>1</v>
      </c>
      <c r="AB8" s="385">
        <f t="shared" si="0"/>
        <v>237</v>
      </c>
      <c r="AC8" s="381" t="s">
        <v>293</v>
      </c>
      <c r="AD8" s="381">
        <v>389</v>
      </c>
      <c r="AE8" s="381">
        <v>389</v>
      </c>
      <c r="AF8" s="381">
        <v>389</v>
      </c>
      <c r="AG8" s="381">
        <v>389</v>
      </c>
      <c r="AH8" s="381">
        <v>237</v>
      </c>
      <c r="AI8" s="381">
        <v>237</v>
      </c>
      <c r="AJ8" s="381">
        <v>237</v>
      </c>
      <c r="AK8" s="381">
        <v>237</v>
      </c>
    </row>
    <row r="9" spans="2:37">
      <c r="B9" s="381" t="s">
        <v>277</v>
      </c>
      <c r="C9" s="382" t="s">
        <v>278</v>
      </c>
      <c r="D9" s="448">
        <v>1</v>
      </c>
      <c r="E9" s="400" t="s">
        <v>265</v>
      </c>
      <c r="F9" s="448">
        <v>1</v>
      </c>
      <c r="G9" s="401" t="s">
        <v>279</v>
      </c>
      <c r="H9" s="442" t="e">
        <f>P5</f>
        <v>#DIV/0!</v>
      </c>
      <c r="I9" s="402" t="s">
        <v>280</v>
      </c>
      <c r="J9" s="442" t="e">
        <f>ROUND(D9/(F9+H9),3)</f>
        <v>#DIV/0!</v>
      </c>
      <c r="K9" s="403" t="s">
        <v>281</v>
      </c>
      <c r="L9" s="387"/>
      <c r="M9" s="387"/>
      <c r="S9" s="399" t="s">
        <v>275</v>
      </c>
      <c r="AA9" s="381">
        <v>2</v>
      </c>
      <c r="AB9" s="385">
        <f t="shared" si="0"/>
        <v>376</v>
      </c>
      <c r="AC9" s="381" t="s">
        <v>294</v>
      </c>
      <c r="AD9" s="381">
        <v>617</v>
      </c>
      <c r="AE9" s="381">
        <v>617</v>
      </c>
      <c r="AF9" s="381">
        <v>617</v>
      </c>
      <c r="AG9" s="381">
        <v>617</v>
      </c>
      <c r="AH9" s="381">
        <v>376</v>
      </c>
      <c r="AI9" s="381">
        <v>376</v>
      </c>
      <c r="AJ9" s="381">
        <v>376</v>
      </c>
      <c r="AK9" s="381">
        <v>376</v>
      </c>
    </row>
    <row r="10" spans="2:37">
      <c r="B10" s="381" t="s">
        <v>277</v>
      </c>
      <c r="C10" s="382" t="s">
        <v>278</v>
      </c>
      <c r="D10" s="388" t="str">
        <f>TEXT(D9, "0")</f>
        <v>1</v>
      </c>
      <c r="E10" s="400" t="s">
        <v>265</v>
      </c>
      <c r="F10" s="388" t="str">
        <f>TEXT(F9, "0")</f>
        <v>1</v>
      </c>
      <c r="G10" s="401" t="s">
        <v>279</v>
      </c>
      <c r="H10" s="388" t="e">
        <f>TEXT(H9, "0.000")</f>
        <v>#DIV/0!</v>
      </c>
      <c r="I10" s="402" t="s">
        <v>280</v>
      </c>
      <c r="J10" s="388" t="e">
        <f>TEXT(J9, "0.000")</f>
        <v>#DIV/0!</v>
      </c>
      <c r="K10" s="403" t="s">
        <v>281</v>
      </c>
      <c r="L10" s="387"/>
      <c r="M10" s="387"/>
      <c r="S10" s="399" t="e">
        <f>CONCATENATE(B10,C10,D10,E10,F10,G10,H10,I10,J10,K10)</f>
        <v>#DIV/0!</v>
      </c>
      <c r="AA10" s="381">
        <v>3</v>
      </c>
      <c r="AB10" s="385">
        <f t="shared" si="0"/>
        <v>599</v>
      </c>
      <c r="AC10" s="381" t="s">
        <v>169</v>
      </c>
      <c r="AD10" s="381">
        <v>981</v>
      </c>
      <c r="AE10" s="381">
        <v>982</v>
      </c>
      <c r="AF10" s="381">
        <v>982</v>
      </c>
      <c r="AG10" s="381">
        <v>982</v>
      </c>
      <c r="AH10" s="381">
        <v>599</v>
      </c>
      <c r="AI10" s="381">
        <v>599</v>
      </c>
      <c r="AJ10" s="381">
        <v>599</v>
      </c>
      <c r="AK10" s="381">
        <v>599</v>
      </c>
    </row>
    <row r="11" spans="2:37">
      <c r="D11" s="404"/>
      <c r="E11" s="404"/>
      <c r="F11" s="401"/>
      <c r="G11" s="401"/>
      <c r="H11" s="402"/>
      <c r="I11" s="402"/>
      <c r="J11" s="403"/>
      <c r="K11" s="403"/>
      <c r="L11" s="387"/>
      <c r="M11" s="387"/>
      <c r="AA11" s="381">
        <v>4</v>
      </c>
      <c r="AB11" s="385">
        <f t="shared" si="0"/>
        <v>951</v>
      </c>
      <c r="AC11" s="381" t="s">
        <v>173</v>
      </c>
      <c r="AD11" s="381">
        <v>1557</v>
      </c>
      <c r="AE11" s="381">
        <v>1559</v>
      </c>
      <c r="AF11" s="381">
        <v>1559</v>
      </c>
      <c r="AG11" s="381">
        <v>1560</v>
      </c>
      <c r="AH11" s="381">
        <v>951</v>
      </c>
      <c r="AI11" s="381">
        <v>952</v>
      </c>
      <c r="AJ11" s="381">
        <v>952</v>
      </c>
      <c r="AK11" s="381">
        <v>952</v>
      </c>
    </row>
    <row r="12" spans="2:37">
      <c r="C12" s="385" t="s">
        <v>600</v>
      </c>
      <c r="L12" s="405"/>
      <c r="M12" s="405"/>
      <c r="X12" s="381" t="s">
        <v>176</v>
      </c>
      <c r="Y12" s="381">
        <f>'S-Input'!CZ54</f>
        <v>5</v>
      </c>
      <c r="AA12" s="381">
        <v>5</v>
      </c>
      <c r="AB12" s="385">
        <f t="shared" si="0"/>
        <v>1481</v>
      </c>
      <c r="AC12" s="381" t="s">
        <v>76</v>
      </c>
      <c r="AD12" s="381">
        <v>2425</v>
      </c>
      <c r="AE12" s="381">
        <v>2431</v>
      </c>
      <c r="AF12" s="381">
        <v>2430</v>
      </c>
      <c r="AG12" s="381">
        <v>2433</v>
      </c>
      <c r="AH12" s="381">
        <v>1481</v>
      </c>
      <c r="AI12" s="381">
        <v>1482</v>
      </c>
      <c r="AJ12" s="381">
        <v>1482</v>
      </c>
      <c r="AK12" s="381">
        <v>1482</v>
      </c>
    </row>
    <row r="13" spans="2:37">
      <c r="B13" s="381" t="s">
        <v>283</v>
      </c>
      <c r="C13" s="382" t="s">
        <v>245</v>
      </c>
      <c r="D13" s="441" t="e">
        <f>H5</f>
        <v>#DIV/0!</v>
      </c>
      <c r="E13" s="407" t="s">
        <v>860</v>
      </c>
      <c r="F13" s="442" t="e">
        <f>J9</f>
        <v>#DIV/0!</v>
      </c>
      <c r="G13" s="408" t="s">
        <v>284</v>
      </c>
      <c r="H13" s="441" t="e">
        <f>ROUND((D13*F13),3)</f>
        <v>#DIV/0!</v>
      </c>
      <c r="I13" s="409" t="s">
        <v>285</v>
      </c>
      <c r="J13" s="390"/>
      <c r="K13" s="390"/>
      <c r="S13" s="399" t="s">
        <v>275</v>
      </c>
      <c r="AA13" s="381">
        <v>6</v>
      </c>
      <c r="AB13" s="385">
        <f t="shared" si="0"/>
        <v>2346</v>
      </c>
      <c r="AC13" s="381" t="s">
        <v>80</v>
      </c>
      <c r="AD13" s="381">
        <v>3806</v>
      </c>
      <c r="AE13" s="381">
        <v>3830</v>
      </c>
      <c r="AF13" s="381">
        <v>3826</v>
      </c>
      <c r="AG13" s="381">
        <v>3838</v>
      </c>
      <c r="AH13" s="381">
        <v>2346</v>
      </c>
      <c r="AI13" s="381">
        <v>2351</v>
      </c>
      <c r="AJ13" s="381">
        <v>2350</v>
      </c>
      <c r="AK13" s="381">
        <v>2353</v>
      </c>
    </row>
    <row r="14" spans="2:37">
      <c r="B14" s="381" t="s">
        <v>283</v>
      </c>
      <c r="C14" s="382" t="s">
        <v>245</v>
      </c>
      <c r="D14" s="388" t="e">
        <f>TEXT(D13, "#,##0")</f>
        <v>#DIV/0!</v>
      </c>
      <c r="E14" s="407" t="str">
        <f>E13</f>
        <v xml:space="preserve"> TLC x </v>
      </c>
      <c r="F14" s="388" t="e">
        <f>TEXT(F13, "0.000")</f>
        <v>#DIV/0!</v>
      </c>
      <c r="G14" s="408" t="s">
        <v>284</v>
      </c>
      <c r="H14" s="388" t="e">
        <f>TEXT(H13, "#,##0")</f>
        <v>#DIV/0!</v>
      </c>
      <c r="I14" s="409" t="s">
        <v>285</v>
      </c>
      <c r="J14" s="390"/>
      <c r="K14" s="390"/>
      <c r="L14" s="381" t="e">
        <f>CONCATENATE(H14,I14)</f>
        <v>#DIV/0!</v>
      </c>
      <c r="S14" s="399" t="e">
        <f>CONCATENATE(B14,C14,D14,E14,F14,G14,H14,I14)</f>
        <v>#DIV/0!</v>
      </c>
      <c r="AA14" s="381">
        <v>7</v>
      </c>
      <c r="AB14" s="385">
        <f t="shared" si="0"/>
        <v>2952</v>
      </c>
      <c r="AC14" s="381" t="s">
        <v>84</v>
      </c>
      <c r="AD14" s="381">
        <v>4774</v>
      </c>
      <c r="AE14" s="381">
        <v>4820</v>
      </c>
      <c r="AF14" s="381">
        <v>4811</v>
      </c>
      <c r="AG14" s="381">
        <v>4833</v>
      </c>
      <c r="AH14" s="381">
        <v>2952</v>
      </c>
      <c r="AI14" s="381">
        <v>2963</v>
      </c>
      <c r="AJ14" s="381">
        <v>2961</v>
      </c>
      <c r="AK14" s="381">
        <v>2966</v>
      </c>
    </row>
    <row r="15" spans="2:37">
      <c r="C15" s="387"/>
      <c r="D15" s="388"/>
      <c r="E15" s="387"/>
      <c r="F15" s="390"/>
      <c r="G15" s="390"/>
      <c r="H15" s="385"/>
      <c r="I15" s="387"/>
      <c r="J15" s="382"/>
      <c r="K15" s="382"/>
      <c r="L15" s="387"/>
      <c r="M15" s="387"/>
      <c r="AA15" s="381">
        <v>8</v>
      </c>
      <c r="AB15" s="385">
        <f t="shared" si="0"/>
        <v>3713</v>
      </c>
      <c r="AC15" s="381" t="s">
        <v>83</v>
      </c>
      <c r="AD15" s="381">
        <v>5907</v>
      </c>
      <c r="AE15" s="381">
        <v>5989</v>
      </c>
      <c r="AF15" s="381">
        <v>6044</v>
      </c>
      <c r="AG15" s="381">
        <v>6087</v>
      </c>
      <c r="AH15" s="381">
        <v>3713</v>
      </c>
      <c r="AI15" s="381">
        <v>3734</v>
      </c>
      <c r="AJ15" s="381">
        <v>3730</v>
      </c>
      <c r="AK15" s="381">
        <v>3740</v>
      </c>
    </row>
    <row r="16" spans="2:37">
      <c r="C16" s="387"/>
      <c r="D16" s="405"/>
      <c r="E16" s="410" t="e">
        <f>CONCATENATE(B14,C14,D14,E14,F14,G14,H14,I14)</f>
        <v>#DIV/0!</v>
      </c>
      <c r="F16" s="411"/>
      <c r="G16" s="411"/>
      <c r="H16" s="394"/>
      <c r="I16" s="394"/>
      <c r="J16" s="382"/>
      <c r="K16" s="382"/>
      <c r="L16" s="387"/>
      <c r="M16" s="387"/>
      <c r="AA16" s="381">
        <v>9</v>
      </c>
      <c r="AB16" s="385">
        <f t="shared" si="0"/>
        <v>4645</v>
      </c>
      <c r="AC16" s="381" t="s">
        <v>87</v>
      </c>
      <c r="AD16" s="381">
        <v>7293</v>
      </c>
      <c r="AE16" s="381">
        <v>7454</v>
      </c>
      <c r="AF16" s="381">
        <v>7493</v>
      </c>
      <c r="AG16" s="381">
        <v>7579</v>
      </c>
      <c r="AH16" s="381">
        <v>4645</v>
      </c>
      <c r="AI16" s="381">
        <v>4686</v>
      </c>
      <c r="AJ16" s="381">
        <v>4678</v>
      </c>
      <c r="AK16" s="381">
        <v>4699</v>
      </c>
    </row>
    <row r="17" spans="1:37">
      <c r="A17" s="389"/>
      <c r="C17" s="387"/>
      <c r="D17" s="405"/>
      <c r="E17" s="405"/>
      <c r="F17" s="411"/>
      <c r="G17" s="411"/>
      <c r="H17" s="391"/>
      <c r="I17" s="391"/>
      <c r="J17" s="382"/>
      <c r="K17" s="382"/>
      <c r="L17" s="382"/>
      <c r="M17" s="382"/>
      <c r="X17" s="389"/>
      <c r="AA17" s="381">
        <v>10</v>
      </c>
      <c r="AB17" s="385">
        <f t="shared" si="0"/>
        <v>5777</v>
      </c>
      <c r="AC17" s="381" t="s">
        <v>93</v>
      </c>
      <c r="AD17" s="381">
        <v>8925</v>
      </c>
      <c r="AE17" s="381">
        <v>9210</v>
      </c>
      <c r="AF17" s="381">
        <v>9317</v>
      </c>
      <c r="AG17" s="381">
        <v>9473</v>
      </c>
      <c r="AH17" s="381">
        <v>5777</v>
      </c>
      <c r="AI17" s="381">
        <v>5852</v>
      </c>
      <c r="AJ17" s="381">
        <v>5838</v>
      </c>
      <c r="AK17" s="381">
        <v>5876</v>
      </c>
    </row>
    <row r="18" spans="1:37">
      <c r="C18" s="390" t="s">
        <v>601</v>
      </c>
      <c r="E18" s="384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4"/>
      <c r="S18" s="384"/>
      <c r="T18" s="384"/>
      <c r="U18" s="384"/>
      <c r="V18" s="384"/>
      <c r="W18" s="384"/>
      <c r="X18" s="384"/>
      <c r="Y18" s="384"/>
      <c r="AA18" s="381">
        <v>11</v>
      </c>
      <c r="AB18" s="385">
        <f t="shared" si="0"/>
        <v>7187</v>
      </c>
      <c r="AC18" s="381" t="s">
        <v>97</v>
      </c>
      <c r="AD18" s="381">
        <v>10755</v>
      </c>
      <c r="AE18" s="381">
        <v>11245</v>
      </c>
      <c r="AF18" s="381">
        <v>11424</v>
      </c>
      <c r="AG18" s="381">
        <v>11703</v>
      </c>
      <c r="AH18" s="381">
        <v>7187</v>
      </c>
      <c r="AI18" s="381">
        <v>7327</v>
      </c>
      <c r="AJ18" s="381">
        <v>7301</v>
      </c>
      <c r="AK18" s="381">
        <v>7373</v>
      </c>
    </row>
    <row r="19" spans="1:37">
      <c r="C19" s="384"/>
      <c r="D19" s="384"/>
      <c r="E19" s="384"/>
      <c r="F19" s="384"/>
      <c r="G19" s="384"/>
      <c r="H19" s="384"/>
      <c r="I19" s="384"/>
      <c r="J19" s="390"/>
      <c r="K19" s="390"/>
      <c r="L19" s="382"/>
      <c r="M19" s="382"/>
      <c r="N19" s="382"/>
      <c r="O19" s="382"/>
      <c r="P19" s="382"/>
      <c r="Q19" s="382"/>
      <c r="R19" s="384"/>
      <c r="S19" s="384"/>
      <c r="T19" s="384"/>
      <c r="U19" s="384"/>
      <c r="V19" s="384"/>
      <c r="W19" s="384"/>
      <c r="X19" s="384"/>
      <c r="Y19" s="384"/>
      <c r="AA19" s="381">
        <v>12</v>
      </c>
      <c r="AB19" s="385">
        <f t="shared" si="0"/>
        <v>8826</v>
      </c>
      <c r="AC19" s="381" t="s">
        <v>101</v>
      </c>
      <c r="AD19" s="381">
        <v>12844</v>
      </c>
      <c r="AE19" s="381">
        <v>13656</v>
      </c>
      <c r="AF19" s="381">
        <v>13923</v>
      </c>
      <c r="AG19" s="381">
        <v>14410</v>
      </c>
      <c r="AH19" s="381">
        <v>8826</v>
      </c>
      <c r="AI19" s="381">
        <v>9077</v>
      </c>
      <c r="AJ19" s="381">
        <v>9110</v>
      </c>
      <c r="AK19" s="381">
        <v>9243</v>
      </c>
    </row>
    <row r="20" spans="1:37">
      <c r="C20" s="384" t="s">
        <v>602</v>
      </c>
      <c r="D20" s="384"/>
      <c r="E20" s="384"/>
      <c r="F20" s="384"/>
      <c r="G20" s="384"/>
      <c r="H20" s="384"/>
      <c r="I20" s="384"/>
      <c r="J20" s="382"/>
      <c r="K20" s="382"/>
      <c r="L20" s="382"/>
      <c r="M20" s="382"/>
      <c r="N20" s="382"/>
      <c r="O20" s="382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AA20" s="381">
        <v>13</v>
      </c>
      <c r="AB20" s="385">
        <f t="shared" si="0"/>
        <v>10741</v>
      </c>
      <c r="AC20" s="381" t="s">
        <v>103</v>
      </c>
      <c r="AD20" s="381">
        <v>15082</v>
      </c>
      <c r="AE20" s="381">
        <v>16392</v>
      </c>
      <c r="AF20" s="381">
        <v>16673</v>
      </c>
      <c r="AG20" s="381">
        <v>17483</v>
      </c>
      <c r="AH20" s="381">
        <v>10741</v>
      </c>
      <c r="AI20" s="381">
        <v>11185</v>
      </c>
      <c r="AJ20" s="381">
        <v>11174</v>
      </c>
      <c r="AK20" s="381">
        <v>11409</v>
      </c>
    </row>
    <row r="21" spans="1:37">
      <c r="C21" s="382" t="s">
        <v>245</v>
      </c>
      <c r="D21" s="441" t="str">
        <f>H1</f>
        <v>0</v>
      </c>
      <c r="E21" s="382" t="s">
        <v>297</v>
      </c>
      <c r="F21" s="441">
        <f>Input!H6</f>
        <v>240</v>
      </c>
      <c r="G21" s="382" t="s">
        <v>603</v>
      </c>
      <c r="H21" s="442">
        <f>D5</f>
        <v>2</v>
      </c>
      <c r="I21" s="382" t="s">
        <v>266</v>
      </c>
      <c r="J21" s="443" t="str">
        <f>'S-Input'!O7</f>
        <v>2,892</v>
      </c>
      <c r="K21" s="382" t="s">
        <v>604</v>
      </c>
      <c r="L21" s="441">
        <v>100000</v>
      </c>
      <c r="M21" s="382" t="s">
        <v>266</v>
      </c>
      <c r="N21" s="443">
        <f>'S-Input'!FM7</f>
        <v>0</v>
      </c>
      <c r="O21" s="382" t="s">
        <v>605</v>
      </c>
      <c r="P21" s="419" t="e">
        <f>ROUND(((D21*F21*H21*J21)/(L21*N21)),3)</f>
        <v>#DIV/0!</v>
      </c>
      <c r="Q21" s="398"/>
      <c r="R21" s="382"/>
      <c r="W21" s="384"/>
      <c r="X21" s="384"/>
      <c r="Y21" s="384"/>
      <c r="AA21" s="381">
        <v>14</v>
      </c>
      <c r="AB21" s="385">
        <f t="shared" si="0"/>
        <v>12122</v>
      </c>
      <c r="AC21" s="381" t="s">
        <v>606</v>
      </c>
      <c r="AD21" s="381">
        <v>16483</v>
      </c>
      <c r="AE21" s="381">
        <v>18311</v>
      </c>
      <c r="AF21" s="381">
        <v>18594</v>
      </c>
      <c r="AG21" s="381">
        <v>19779</v>
      </c>
      <c r="AH21" s="381">
        <v>12122</v>
      </c>
      <c r="AI21" s="381">
        <v>12797</v>
      </c>
      <c r="AJ21" s="381">
        <v>12862</v>
      </c>
      <c r="AK21" s="381">
        <v>13236</v>
      </c>
    </row>
    <row r="22" spans="1:37">
      <c r="C22" s="382" t="str">
        <f>C21</f>
        <v xml:space="preserve">( </v>
      </c>
      <c r="D22" s="388" t="str">
        <f>TEXT(D21, "#,##0")</f>
        <v>0</v>
      </c>
      <c r="E22" s="382" t="str">
        <f>E21</f>
        <v xml:space="preserve"> AFC x </v>
      </c>
      <c r="F22" s="388">
        <f>VALUE(F21)</f>
        <v>240</v>
      </c>
      <c r="G22" s="382" t="str">
        <f>G21</f>
        <v xml:space="preserve"> PV x </v>
      </c>
      <c r="H22" s="388" t="str">
        <f>TEXT(H21, "0.000")</f>
        <v>2.000</v>
      </c>
      <c r="I22" s="382" t="str">
        <f>I21</f>
        <v xml:space="preserve"> x </v>
      </c>
      <c r="J22" s="388" t="str">
        <f>TEXT(J21, "0.0")</f>
        <v>2892.0</v>
      </c>
      <c r="K22" s="382" t="str">
        <f>K21</f>
        <v xml:space="preserve"> %Z ) ÷ ( </v>
      </c>
      <c r="L22" s="388" t="str">
        <f>TEXT(L21, "#,##0")</f>
        <v>100,000</v>
      </c>
      <c r="M22" s="382" t="str">
        <f>M21</f>
        <v xml:space="preserve"> x </v>
      </c>
      <c r="N22" s="388" t="str">
        <f>TEXT(N21, "#,##0.0")</f>
        <v>0.0</v>
      </c>
      <c r="O22" s="382" t="str">
        <f>O21</f>
        <v xml:space="preserve"> KVA ) = </v>
      </c>
      <c r="P22" s="388" t="e">
        <f>TEXT(P21, "0.000")</f>
        <v>#DIV/0!</v>
      </c>
      <c r="Q22" s="388" t="s">
        <v>607</v>
      </c>
      <c r="R22" s="388"/>
      <c r="S22" s="382" t="s">
        <v>608</v>
      </c>
      <c r="T22" s="381" t="e">
        <f>CONCATENATE(S22,C22,D22,E22,F22,G22,H22,I22,J22,K22,L22,M22,N22,O22,P22,Q22)</f>
        <v>#DIV/0!</v>
      </c>
      <c r="X22" s="384"/>
      <c r="Y22" s="384"/>
      <c r="Z22" s="384"/>
      <c r="AA22" s="381">
        <v>15</v>
      </c>
      <c r="AB22" s="385">
        <f t="shared" si="0"/>
        <v>13910</v>
      </c>
      <c r="AC22" s="381" t="s">
        <v>609</v>
      </c>
      <c r="AD22" s="381">
        <v>18177</v>
      </c>
      <c r="AE22" s="381">
        <v>20617</v>
      </c>
      <c r="AF22" s="381">
        <v>20868</v>
      </c>
      <c r="AG22" s="381">
        <v>22525</v>
      </c>
      <c r="AH22" s="381">
        <v>13910</v>
      </c>
      <c r="AI22" s="381">
        <v>14917</v>
      </c>
      <c r="AJ22" s="381">
        <v>14923</v>
      </c>
      <c r="AK22" s="381">
        <v>15495</v>
      </c>
    </row>
    <row r="23" spans="1:37">
      <c r="C23" s="385" t="s">
        <v>610</v>
      </c>
      <c r="H23" s="382"/>
      <c r="I23" s="382"/>
      <c r="J23" s="382"/>
      <c r="K23" s="382"/>
      <c r="L23" s="384"/>
      <c r="M23" s="384" t="s">
        <v>303</v>
      </c>
      <c r="N23" s="381" t="s">
        <v>611</v>
      </c>
      <c r="O23" s="385" t="str">
        <f>CONCATENATE(M23,N22,N23)</f>
        <v xml:space="preserve"> &lt; 0.0  KVA</v>
      </c>
      <c r="R23" s="382"/>
      <c r="AA23" s="381">
        <v>16</v>
      </c>
      <c r="AB23" s="385">
        <f t="shared" si="0"/>
        <v>15484</v>
      </c>
      <c r="AC23" s="381" t="s">
        <v>612</v>
      </c>
      <c r="AD23" s="381">
        <v>19704</v>
      </c>
      <c r="AE23" s="381">
        <v>22646</v>
      </c>
      <c r="AF23" s="381">
        <v>22737</v>
      </c>
      <c r="AG23" s="381">
        <v>24904</v>
      </c>
      <c r="AH23" s="381">
        <v>15484</v>
      </c>
      <c r="AI23" s="381">
        <v>16795</v>
      </c>
      <c r="AJ23" s="381">
        <v>16813</v>
      </c>
      <c r="AK23" s="381">
        <v>17635</v>
      </c>
    </row>
    <row r="24" spans="1:37">
      <c r="C24" s="382" t="s">
        <v>245</v>
      </c>
      <c r="D24" s="441">
        <v>1</v>
      </c>
      <c r="E24" s="382" t="s">
        <v>613</v>
      </c>
      <c r="F24" s="449">
        <v>1</v>
      </c>
      <c r="G24" s="382" t="s">
        <v>279</v>
      </c>
      <c r="H24" s="442" t="e">
        <f>P21</f>
        <v>#DIV/0!</v>
      </c>
      <c r="I24" s="382" t="s">
        <v>614</v>
      </c>
      <c r="J24" s="444" t="e">
        <f>ROUND(((D24)/(F24+H24)),3)</f>
        <v>#DIV/0!</v>
      </c>
      <c r="K24" s="382" t="s">
        <v>615</v>
      </c>
      <c r="L24" s="412"/>
      <c r="M24" s="382"/>
      <c r="N24" s="406"/>
      <c r="O24" s="382"/>
      <c r="P24" s="382"/>
      <c r="Q24" s="382"/>
      <c r="R24" s="382"/>
      <c r="W24" s="384"/>
      <c r="X24" s="384"/>
      <c r="AA24" s="381">
        <v>17</v>
      </c>
      <c r="AB24" s="385">
        <f t="shared" si="0"/>
        <v>16671</v>
      </c>
      <c r="AC24" s="381" t="s">
        <v>616</v>
      </c>
      <c r="AD24" s="381">
        <v>20566</v>
      </c>
      <c r="AE24" s="381">
        <v>24253</v>
      </c>
      <c r="AF24" s="381">
        <v>24297</v>
      </c>
      <c r="AG24" s="381">
        <v>26916</v>
      </c>
      <c r="AH24" s="381">
        <v>16671</v>
      </c>
      <c r="AI24" s="381">
        <v>18462</v>
      </c>
      <c r="AJ24" s="381">
        <v>18506</v>
      </c>
      <c r="AK24" s="381">
        <v>19588</v>
      </c>
    </row>
    <row r="25" spans="1:37">
      <c r="C25" s="382" t="str">
        <f>C24</f>
        <v xml:space="preserve">( </v>
      </c>
      <c r="D25" s="388" t="str">
        <f>TEXT(D24, "#,##0")</f>
        <v>1</v>
      </c>
      <c r="E25" s="382" t="str">
        <f>E24</f>
        <v xml:space="preserve"> ) / ( </v>
      </c>
      <c r="F25" s="388">
        <f>VALUE(F24)</f>
        <v>1</v>
      </c>
      <c r="G25" s="382" t="str">
        <f>G24</f>
        <v xml:space="preserve"> + </v>
      </c>
      <c r="H25" s="388" t="e">
        <f>TEXT(H24, "0.000")</f>
        <v>#DIV/0!</v>
      </c>
      <c r="I25" s="382" t="str">
        <f>I24</f>
        <v xml:space="preserve"> TF ) = </v>
      </c>
      <c r="J25" s="388" t="e">
        <f>TEXT(J24, "0.000")</f>
        <v>#DIV/0!</v>
      </c>
      <c r="K25" s="382" t="s">
        <v>615</v>
      </c>
      <c r="L25" s="388"/>
      <c r="M25" s="382"/>
      <c r="N25" s="388"/>
      <c r="O25" s="382"/>
      <c r="P25" s="388"/>
      <c r="Q25" s="388"/>
      <c r="R25" s="388"/>
      <c r="S25" s="382" t="s">
        <v>617</v>
      </c>
      <c r="T25" s="381" t="e">
        <f>CONCATENATE(,S25,C25,D25,E25,F25,G25,H25,I25,J25,K25)</f>
        <v>#DIV/0!</v>
      </c>
      <c r="X25" s="384"/>
      <c r="Y25" s="384"/>
      <c r="AA25" s="381">
        <v>18</v>
      </c>
      <c r="AB25" s="385">
        <f t="shared" si="0"/>
        <v>18756</v>
      </c>
      <c r="AC25" s="381" t="s">
        <v>618</v>
      </c>
      <c r="AD25" s="381">
        <v>22185</v>
      </c>
      <c r="AE25" s="381">
        <v>26980</v>
      </c>
      <c r="AF25" s="381">
        <v>26706</v>
      </c>
      <c r="AG25" s="381">
        <v>30096</v>
      </c>
      <c r="AH25" s="381">
        <v>18756</v>
      </c>
      <c r="AI25" s="381">
        <v>21395</v>
      </c>
      <c r="AJ25" s="381">
        <v>21391</v>
      </c>
      <c r="AK25" s="381">
        <v>23018</v>
      </c>
    </row>
    <row r="26" spans="1:37">
      <c r="B26" s="382"/>
      <c r="C26" s="385" t="s">
        <v>619</v>
      </c>
      <c r="D26" s="384"/>
      <c r="E26" s="384"/>
      <c r="F26" s="384"/>
      <c r="G26" s="384"/>
      <c r="H26" s="384"/>
      <c r="I26" s="384"/>
      <c r="J26" s="382"/>
      <c r="K26" s="382"/>
      <c r="L26" s="384"/>
      <c r="M26" s="384"/>
      <c r="AA26" s="381">
        <v>19</v>
      </c>
      <c r="AB26" s="385">
        <f t="shared" si="0"/>
        <v>20093</v>
      </c>
      <c r="AC26" s="381" t="s">
        <v>620</v>
      </c>
      <c r="AD26" s="381">
        <v>22965</v>
      </c>
      <c r="AE26" s="381">
        <v>28752</v>
      </c>
      <c r="AF26" s="381">
        <v>28033</v>
      </c>
      <c r="AG26" s="381">
        <v>32154</v>
      </c>
      <c r="AH26" s="381">
        <v>20093</v>
      </c>
      <c r="AI26" s="381">
        <v>23633</v>
      </c>
      <c r="AJ26" s="381">
        <v>23451</v>
      </c>
      <c r="AK26" s="381">
        <v>25708</v>
      </c>
    </row>
    <row r="27" spans="1:37">
      <c r="A27" s="382"/>
      <c r="B27" s="382"/>
      <c r="C27" s="382" t="s">
        <v>621</v>
      </c>
      <c r="D27" s="441">
        <f>F21</f>
        <v>240</v>
      </c>
      <c r="E27" s="382" t="s">
        <v>622</v>
      </c>
      <c r="F27" s="441">
        <f>'S-Input'!H6</f>
        <v>240</v>
      </c>
      <c r="G27" s="382" t="s">
        <v>623</v>
      </c>
      <c r="H27" s="444" t="e">
        <f>J24</f>
        <v>#DIV/0!</v>
      </c>
      <c r="I27" s="382" t="s">
        <v>624</v>
      </c>
      <c r="J27" s="441" t="str">
        <f>D21</f>
        <v>0</v>
      </c>
      <c r="K27" s="382" t="s">
        <v>625</v>
      </c>
      <c r="L27" s="443">
        <f>IF('S-Input'!O3="MANUAL",'S-Input'!O5,IF('S-Input'!O3="AUTO",Input!O5,0))</f>
        <v>0</v>
      </c>
      <c r="M27" s="382" t="s">
        <v>267</v>
      </c>
      <c r="N27" s="441">
        <f>ROUND('S-Input'!AW82*4,0)</f>
        <v>0</v>
      </c>
      <c r="O27" s="406" t="s">
        <v>268</v>
      </c>
      <c r="P27" s="441" t="e">
        <f>((((D27/F27)*(H27*J27))*L27)+N27)</f>
        <v>#DIV/0!</v>
      </c>
      <c r="Q27" s="382" t="s">
        <v>626</v>
      </c>
      <c r="AA27" s="381">
        <v>20</v>
      </c>
      <c r="AB27" s="385">
        <f t="shared" si="0"/>
        <v>21766</v>
      </c>
      <c r="AC27" s="381" t="s">
        <v>627</v>
      </c>
      <c r="AD27" s="381">
        <v>24137</v>
      </c>
      <c r="AE27" s="381">
        <v>31051</v>
      </c>
      <c r="AF27" s="381">
        <v>29735</v>
      </c>
      <c r="AG27" s="381">
        <v>34605</v>
      </c>
      <c r="AH27" s="381">
        <v>21766</v>
      </c>
      <c r="AI27" s="381">
        <v>26432</v>
      </c>
      <c r="AJ27" s="381">
        <v>25976</v>
      </c>
      <c r="AK27" s="381">
        <v>29036</v>
      </c>
    </row>
    <row r="28" spans="1:37">
      <c r="A28" s="382"/>
      <c r="B28" s="382"/>
      <c r="C28" s="382" t="str">
        <f>C27</f>
        <v xml:space="preserve">(((( </v>
      </c>
      <c r="D28" s="388" t="str">
        <f>TEXT(D27, "#,##0")</f>
        <v>240</v>
      </c>
      <c r="E28" s="382" t="s">
        <v>622</v>
      </c>
      <c r="F28" s="388">
        <f>VALUE(F27)</f>
        <v>240</v>
      </c>
      <c r="G28" s="382" t="s">
        <v>623</v>
      </c>
      <c r="H28" s="388" t="e">
        <f>TEXT(H27, "0.000")</f>
        <v>#DIV/0!</v>
      </c>
      <c r="I28" s="382" t="str">
        <f>I27</f>
        <v xml:space="preserve"> TM x </v>
      </c>
      <c r="J28" s="388" t="str">
        <f>TEXT(J27, "#,##0")</f>
        <v>0</v>
      </c>
      <c r="K28" s="382" t="str">
        <f>K27</f>
        <v xml:space="preserve"> AFC )) x  </v>
      </c>
      <c r="L28" s="388" t="str">
        <f>TEXT(L27, "#,##0.0")</f>
        <v>0.0</v>
      </c>
      <c r="M28" s="382" t="s">
        <v>267</v>
      </c>
      <c r="N28" s="388" t="str">
        <f>TEXT(N27, "#,##0")</f>
        <v>0</v>
      </c>
      <c r="O28" s="388" t="str">
        <f>TEXT(O27, "#,##0")</f>
        <v xml:space="preserve"> MC ) = </v>
      </c>
      <c r="P28" s="388" t="e">
        <f>TEXT(P27, "#,##0")</f>
        <v>#DIV/0!</v>
      </c>
      <c r="Q28" s="382" t="s">
        <v>626</v>
      </c>
      <c r="S28" s="382" t="s">
        <v>628</v>
      </c>
      <c r="T28" s="385" t="e">
        <f>CONCATENATE(S28,C28,D28,E28,F28,G28,H28,I28,J28,K28,L28,M28,N28,O28,P28,Q28)</f>
        <v>#DIV/0!</v>
      </c>
      <c r="AA28" s="381">
        <v>21</v>
      </c>
      <c r="AB28" s="385">
        <f t="shared" si="0"/>
        <v>23478</v>
      </c>
      <c r="AC28" s="381" t="s">
        <v>629</v>
      </c>
      <c r="AD28" s="381">
        <v>25278</v>
      </c>
      <c r="AE28" s="381">
        <v>33864</v>
      </c>
      <c r="AF28" s="381">
        <v>31491</v>
      </c>
      <c r="AG28" s="381">
        <v>37197</v>
      </c>
      <c r="AH28" s="381">
        <v>23478</v>
      </c>
      <c r="AI28" s="381">
        <v>29865</v>
      </c>
      <c r="AJ28" s="381">
        <v>28779</v>
      </c>
      <c r="AK28" s="381">
        <v>32938</v>
      </c>
    </row>
    <row r="29" spans="1:37">
      <c r="A29" s="382"/>
      <c r="J29" s="384"/>
      <c r="K29" s="384"/>
      <c r="L29" s="388" t="e">
        <f>TEXT(P28, "#,##0")</f>
        <v>#DIV/0!</v>
      </c>
      <c r="M29" s="382" t="s">
        <v>626</v>
      </c>
      <c r="O29" s="381" t="e">
        <f>CONCATENATE(L29,M29)</f>
        <v>#DIV/0!</v>
      </c>
      <c r="R29" s="382"/>
    </row>
    <row r="30" spans="1:37">
      <c r="L30" s="384"/>
      <c r="M30" s="384"/>
      <c r="AA30" s="446">
        <f>IF(ISNA(VLOOKUP(Y12,AA8:AB28,2)=TRUE),0,VLOOKUP(Y12,AA8:AB28,2))</f>
        <v>1481</v>
      </c>
      <c r="AB30" s="447" t="str">
        <f>IF(ISNA(VLOOKUP(Y12,AA8:AC28,3)=TRUE),0,VLOOKUP(Y12,AA8:AC28,3))</f>
        <v>#6</v>
      </c>
    </row>
    <row r="31" spans="1:37">
      <c r="E31" s="387" t="s">
        <v>630</v>
      </c>
      <c r="L31" s="384"/>
      <c r="M31" s="384"/>
    </row>
    <row r="32" spans="1:37">
      <c r="C32" s="387"/>
      <c r="D32" s="394"/>
      <c r="E32" s="413"/>
      <c r="F32" s="414"/>
      <c r="G32" s="387"/>
      <c r="H32" s="405"/>
      <c r="I32" s="387"/>
      <c r="J32" s="394"/>
      <c r="K32" s="415"/>
      <c r="L32" s="387"/>
    </row>
    <row r="33" spans="3:33">
      <c r="AB33" s="381"/>
    </row>
    <row r="34" spans="3:33">
      <c r="Y34" s="389"/>
      <c r="AA34" s="446">
        <f>SUM(AA30:AA33)</f>
        <v>1481</v>
      </c>
      <c r="AB34" s="381"/>
    </row>
    <row r="35" spans="3:33">
      <c r="C35" s="382" t="s">
        <v>621</v>
      </c>
      <c r="D35" s="382" t="s">
        <v>631</v>
      </c>
      <c r="E35" s="382" t="s">
        <v>622</v>
      </c>
      <c r="F35" s="382">
        <v>208</v>
      </c>
      <c r="G35" s="382" t="s">
        <v>623</v>
      </c>
      <c r="H35" s="381" t="s">
        <v>632</v>
      </c>
      <c r="I35" s="381" t="s">
        <v>624</v>
      </c>
      <c r="J35" s="381" t="s">
        <v>633</v>
      </c>
      <c r="K35" s="382" t="s">
        <v>625</v>
      </c>
      <c r="L35" s="387" t="s">
        <v>634</v>
      </c>
      <c r="M35" s="381" t="s">
        <v>267</v>
      </c>
      <c r="N35" s="381" t="s">
        <v>635</v>
      </c>
      <c r="O35" s="381" t="s">
        <v>135</v>
      </c>
      <c r="Y35" s="389"/>
      <c r="AB35" s="381"/>
    </row>
    <row r="36" spans="3:33">
      <c r="Y36" s="389"/>
      <c r="AB36" s="381"/>
    </row>
    <row r="37" spans="3:33">
      <c r="AB37" s="381"/>
    </row>
    <row r="38" spans="3:33">
      <c r="AB38" s="381"/>
    </row>
    <row r="39" spans="3:33">
      <c r="AB39" s="381"/>
    </row>
    <row r="40" spans="3:33">
      <c r="AB40" s="381"/>
    </row>
    <row r="41" spans="3:33">
      <c r="AB41" s="381"/>
    </row>
    <row r="42" spans="3:33">
      <c r="AB42" s="381"/>
    </row>
    <row r="43" spans="3:33">
      <c r="C43" s="416" t="s">
        <v>636</v>
      </c>
      <c r="D43" s="381" t="s">
        <v>637</v>
      </c>
      <c r="AB43" s="381"/>
    </row>
    <row r="44" spans="3:33">
      <c r="C44" s="416" t="s">
        <v>371</v>
      </c>
      <c r="D44" s="381" t="s">
        <v>372</v>
      </c>
      <c r="AB44" s="381"/>
    </row>
    <row r="45" spans="3:33">
      <c r="C45" s="416" t="s">
        <v>375</v>
      </c>
      <c r="D45" s="381" t="s">
        <v>376</v>
      </c>
      <c r="AB45" s="381"/>
    </row>
    <row r="46" spans="3:33">
      <c r="C46" s="416" t="s">
        <v>373</v>
      </c>
      <c r="D46" s="381" t="s">
        <v>374</v>
      </c>
    </row>
    <row r="47" spans="3:33">
      <c r="C47" s="416" t="s">
        <v>380</v>
      </c>
      <c r="D47" s="381" t="s">
        <v>381</v>
      </c>
      <c r="AF47" s="381">
        <f>Z16</f>
        <v>0</v>
      </c>
      <c r="AG47" s="381">
        <f>AB2</f>
        <v>4</v>
      </c>
    </row>
    <row r="48" spans="3:33">
      <c r="C48" s="416" t="s">
        <v>378</v>
      </c>
      <c r="D48" s="381" t="s">
        <v>379</v>
      </c>
      <c r="AC48" s="417">
        <f>IF(AB2=0," ",F5)</f>
        <v>50</v>
      </c>
    </row>
    <row r="49" spans="3:37">
      <c r="C49" s="416" t="s">
        <v>574</v>
      </c>
      <c r="D49" s="381" t="s">
        <v>638</v>
      </c>
      <c r="AC49" s="385" t="str">
        <f>IF(AB$2=6,"Plug-In",IF(AB$2=5,"Feeder",IF(AB$2=11,"Feeder",IF(AB$2=0," ",AB5))))</f>
        <v>Steel Conduit</v>
      </c>
      <c r="AF49" s="381">
        <v>1</v>
      </c>
      <c r="AG49" s="381" t="str">
        <f t="shared" ref="AG49:AG69" si="1">IF(AG$47&lt;5,AH49,IF(AG$47=7,AI49,IF(AG$47=8,AI49,IF(AG$47=9,AI49,IF(AG$47=10,AI49,0)))))</f>
        <v>#14 Cable CU</v>
      </c>
      <c r="AH49" s="381" t="s">
        <v>639</v>
      </c>
      <c r="AI49" s="381" t="s">
        <v>640</v>
      </c>
      <c r="AJ49" s="381" t="s">
        <v>641</v>
      </c>
      <c r="AK49" s="381" t="str">
        <f>CONCATENATE(AI49,AJ49)</f>
        <v>#14 Cable AL AL</v>
      </c>
    </row>
    <row r="50" spans="3:37">
      <c r="C50" s="416" t="s">
        <v>383</v>
      </c>
      <c r="D50" s="381" t="s">
        <v>384</v>
      </c>
      <c r="AC50" s="418" t="str">
        <f>IF(AB$2=6,"Busway CU",IF(AB$2=5,"Busway CU",IF(AB$2=11,"Busway AL",IF(AB$2=0," ",AC77))))</f>
        <v>1 Conductor(s) Per Phase</v>
      </c>
      <c r="AF50" s="381">
        <f t="shared" ref="AF50:AF69" si="2">AF49+1</f>
        <v>2</v>
      </c>
      <c r="AG50" s="381" t="str">
        <f t="shared" si="1"/>
        <v>#12 Cable CU</v>
      </c>
      <c r="AH50" s="381" t="s">
        <v>642</v>
      </c>
      <c r="AI50" s="381" t="s">
        <v>643</v>
      </c>
      <c r="AJ50" s="381" t="s">
        <v>641</v>
      </c>
    </row>
    <row r="51" spans="3:37">
      <c r="C51" s="416" t="s">
        <v>563</v>
      </c>
      <c r="D51" s="381" t="s">
        <v>644</v>
      </c>
      <c r="AC51" s="385" t="e">
        <f>IF(AB$2=5,Y34,IF(AB$2=6,Y35,IF(AB$2=11,Y36,IF(AB$2=0," ",AF71))))</f>
        <v>#N/A</v>
      </c>
      <c r="AF51" s="381">
        <f t="shared" si="2"/>
        <v>3</v>
      </c>
      <c r="AG51" s="381" t="str">
        <f t="shared" si="1"/>
        <v>#10 Cable CU</v>
      </c>
      <c r="AH51" s="381" t="s">
        <v>645</v>
      </c>
      <c r="AI51" s="381" t="s">
        <v>646</v>
      </c>
      <c r="AJ51" s="381" t="s">
        <v>641</v>
      </c>
    </row>
    <row r="52" spans="3:37">
      <c r="C52" s="416" t="s">
        <v>308</v>
      </c>
      <c r="D52" s="381" t="s">
        <v>377</v>
      </c>
      <c r="AC52" s="416"/>
      <c r="AF52" s="381">
        <f t="shared" si="2"/>
        <v>4</v>
      </c>
      <c r="AG52" s="381" t="str">
        <f t="shared" si="1"/>
        <v>#8 Cable CU</v>
      </c>
      <c r="AH52" s="381" t="s">
        <v>647</v>
      </c>
      <c r="AI52" s="381" t="s">
        <v>648</v>
      </c>
      <c r="AJ52" s="381" t="s">
        <v>641</v>
      </c>
    </row>
    <row r="53" spans="3:37">
      <c r="C53" s="416" t="s">
        <v>649</v>
      </c>
      <c r="D53" s="381" t="s">
        <v>650</v>
      </c>
      <c r="AC53" s="416"/>
      <c r="AF53" s="381">
        <f t="shared" si="2"/>
        <v>5</v>
      </c>
      <c r="AG53" s="381" t="str">
        <f t="shared" si="1"/>
        <v>#6 Cable CU</v>
      </c>
      <c r="AH53" s="381" t="s">
        <v>651</v>
      </c>
      <c r="AI53" s="381" t="s">
        <v>652</v>
      </c>
      <c r="AJ53" s="381" t="s">
        <v>641</v>
      </c>
    </row>
    <row r="54" spans="3:37">
      <c r="C54" s="416" t="s">
        <v>653</v>
      </c>
      <c r="D54" s="381" t="s">
        <v>654</v>
      </c>
      <c r="AC54" s="416"/>
      <c r="AF54" s="381">
        <f t="shared" si="2"/>
        <v>6</v>
      </c>
      <c r="AG54" s="381" t="str">
        <f t="shared" si="1"/>
        <v>#4 Cable CU</v>
      </c>
      <c r="AH54" s="381" t="s">
        <v>655</v>
      </c>
      <c r="AI54" s="381" t="s">
        <v>656</v>
      </c>
      <c r="AJ54" s="381" t="s">
        <v>641</v>
      </c>
    </row>
    <row r="55" spans="3:37">
      <c r="C55" s="416" t="s">
        <v>657</v>
      </c>
      <c r="D55" s="381" t="s">
        <v>658</v>
      </c>
      <c r="AC55" s="416"/>
      <c r="AF55" s="381">
        <f t="shared" si="2"/>
        <v>7</v>
      </c>
      <c r="AG55" s="381" t="str">
        <f t="shared" si="1"/>
        <v>#3 Cable CU</v>
      </c>
      <c r="AH55" s="381" t="s">
        <v>659</v>
      </c>
      <c r="AI55" s="381" t="s">
        <v>660</v>
      </c>
      <c r="AJ55" s="381" t="s">
        <v>641</v>
      </c>
    </row>
    <row r="56" spans="3:37">
      <c r="C56" s="416" t="s">
        <v>661</v>
      </c>
      <c r="D56" s="381" t="s">
        <v>662</v>
      </c>
      <c r="AB56" s="416">
        <v>1</v>
      </c>
      <c r="AC56" s="385" t="s">
        <v>663</v>
      </c>
      <c r="AF56" s="381">
        <f t="shared" si="2"/>
        <v>8</v>
      </c>
      <c r="AG56" s="381" t="str">
        <f t="shared" si="1"/>
        <v>#2 Cable CU</v>
      </c>
      <c r="AH56" s="381" t="s">
        <v>664</v>
      </c>
      <c r="AI56" s="381" t="s">
        <v>665</v>
      </c>
      <c r="AJ56" s="381" t="s">
        <v>641</v>
      </c>
    </row>
    <row r="57" spans="3:37">
      <c r="C57" s="416" t="s">
        <v>666</v>
      </c>
      <c r="D57" s="381" t="s">
        <v>667</v>
      </c>
      <c r="AB57" s="416">
        <f t="shared" ref="AB57:AB75" si="3">AB56+1</f>
        <v>2</v>
      </c>
      <c r="AC57" s="385" t="s">
        <v>668</v>
      </c>
      <c r="AF57" s="381">
        <f t="shared" si="2"/>
        <v>9</v>
      </c>
      <c r="AG57" s="381" t="str">
        <f t="shared" si="1"/>
        <v>#1 Cable CU</v>
      </c>
      <c r="AH57" s="381" t="s">
        <v>669</v>
      </c>
      <c r="AI57" s="381" t="s">
        <v>670</v>
      </c>
      <c r="AJ57" s="381" t="s">
        <v>641</v>
      </c>
    </row>
    <row r="58" spans="3:37">
      <c r="C58" s="416" t="s">
        <v>382</v>
      </c>
      <c r="D58" s="381" t="s">
        <v>671</v>
      </c>
      <c r="AB58" s="416">
        <f t="shared" si="3"/>
        <v>3</v>
      </c>
      <c r="AC58" s="385" t="s">
        <v>672</v>
      </c>
      <c r="AF58" s="381">
        <f t="shared" si="2"/>
        <v>10</v>
      </c>
      <c r="AG58" s="381" t="str">
        <f t="shared" si="1"/>
        <v>#1/0 Cable CU</v>
      </c>
      <c r="AH58" s="381" t="s">
        <v>673</v>
      </c>
      <c r="AI58" s="381" t="s">
        <v>674</v>
      </c>
      <c r="AJ58" s="381" t="s">
        <v>641</v>
      </c>
    </row>
    <row r="59" spans="3:37">
      <c r="C59" s="382" t="s">
        <v>12</v>
      </c>
      <c r="D59" s="382" t="s">
        <v>12</v>
      </c>
      <c r="AB59" s="416">
        <f t="shared" si="3"/>
        <v>4</v>
      </c>
      <c r="AC59" s="385" t="s">
        <v>675</v>
      </c>
      <c r="AF59" s="381">
        <f t="shared" si="2"/>
        <v>11</v>
      </c>
      <c r="AG59" s="381" t="str">
        <f t="shared" si="1"/>
        <v>#2/0 Cable CU</v>
      </c>
      <c r="AH59" s="381" t="s">
        <v>676</v>
      </c>
      <c r="AI59" s="381" t="s">
        <v>677</v>
      </c>
      <c r="AJ59" s="381" t="s">
        <v>641</v>
      </c>
    </row>
    <row r="60" spans="3:37">
      <c r="C60" s="382" t="s">
        <v>12</v>
      </c>
      <c r="D60" s="382" t="s">
        <v>12</v>
      </c>
      <c r="AB60" s="416">
        <f t="shared" si="3"/>
        <v>5</v>
      </c>
      <c r="AC60" s="385" t="s">
        <v>678</v>
      </c>
      <c r="AF60" s="381">
        <f t="shared" si="2"/>
        <v>12</v>
      </c>
      <c r="AG60" s="381" t="str">
        <f t="shared" si="1"/>
        <v>#3/0 Cable CU</v>
      </c>
      <c r="AH60" s="381" t="s">
        <v>679</v>
      </c>
      <c r="AI60" s="381" t="s">
        <v>680</v>
      </c>
      <c r="AJ60" s="381" t="s">
        <v>641</v>
      </c>
    </row>
    <row r="61" spans="3:37">
      <c r="C61" s="382" t="s">
        <v>12</v>
      </c>
      <c r="D61" s="382" t="s">
        <v>12</v>
      </c>
      <c r="AB61" s="416">
        <f t="shared" si="3"/>
        <v>6</v>
      </c>
      <c r="AC61" s="385" t="s">
        <v>681</v>
      </c>
      <c r="AF61" s="381">
        <f t="shared" si="2"/>
        <v>13</v>
      </c>
      <c r="AG61" s="381" t="str">
        <f t="shared" si="1"/>
        <v>#4/0 Cable CU</v>
      </c>
      <c r="AH61" s="381" t="s">
        <v>682</v>
      </c>
      <c r="AI61" s="381" t="s">
        <v>683</v>
      </c>
      <c r="AJ61" s="381" t="s">
        <v>641</v>
      </c>
    </row>
    <row r="62" spans="3:37">
      <c r="C62" s="382" t="s">
        <v>12</v>
      </c>
      <c r="D62" s="382" t="s">
        <v>12</v>
      </c>
      <c r="AB62" s="416">
        <f t="shared" si="3"/>
        <v>7</v>
      </c>
      <c r="AC62" s="385" t="s">
        <v>684</v>
      </c>
      <c r="AF62" s="381">
        <f t="shared" si="2"/>
        <v>14</v>
      </c>
      <c r="AG62" s="381" t="str">
        <f t="shared" si="1"/>
        <v>250 MCM Cable CU</v>
      </c>
      <c r="AH62" s="381" t="s">
        <v>685</v>
      </c>
      <c r="AI62" s="381" t="s">
        <v>686</v>
      </c>
      <c r="AJ62" s="381" t="s">
        <v>641</v>
      </c>
    </row>
    <row r="63" spans="3:37">
      <c r="C63" s="382" t="s">
        <v>12</v>
      </c>
      <c r="D63" s="382" t="s">
        <v>12</v>
      </c>
      <c r="AB63" s="416">
        <f t="shared" si="3"/>
        <v>8</v>
      </c>
      <c r="AC63" s="385" t="s">
        <v>687</v>
      </c>
      <c r="AF63" s="381">
        <f t="shared" si="2"/>
        <v>15</v>
      </c>
      <c r="AG63" s="381" t="str">
        <f t="shared" si="1"/>
        <v>300 MCM Cable CU</v>
      </c>
      <c r="AH63" s="381" t="s">
        <v>688</v>
      </c>
      <c r="AI63" s="381" t="s">
        <v>689</v>
      </c>
      <c r="AJ63" s="381" t="s">
        <v>641</v>
      </c>
    </row>
    <row r="64" spans="3:37">
      <c r="C64" s="382" t="s">
        <v>12</v>
      </c>
      <c r="D64" s="382" t="s">
        <v>12</v>
      </c>
      <c r="AB64" s="416">
        <f t="shared" si="3"/>
        <v>9</v>
      </c>
      <c r="AC64" s="385" t="s">
        <v>690</v>
      </c>
      <c r="AF64" s="381">
        <f t="shared" si="2"/>
        <v>16</v>
      </c>
      <c r="AG64" s="381" t="str">
        <f t="shared" si="1"/>
        <v>350 MCM Cable CU</v>
      </c>
      <c r="AH64" s="381" t="s">
        <v>691</v>
      </c>
      <c r="AI64" s="381" t="s">
        <v>692</v>
      </c>
      <c r="AJ64" s="381" t="s">
        <v>641</v>
      </c>
    </row>
    <row r="65" spans="3:36">
      <c r="C65" s="382" t="s">
        <v>12</v>
      </c>
      <c r="D65" s="382" t="s">
        <v>12</v>
      </c>
      <c r="AB65" s="416">
        <f t="shared" si="3"/>
        <v>10</v>
      </c>
      <c r="AC65" s="385" t="s">
        <v>693</v>
      </c>
      <c r="AF65" s="381">
        <f t="shared" si="2"/>
        <v>17</v>
      </c>
      <c r="AG65" s="381" t="str">
        <f t="shared" si="1"/>
        <v>400 MCM Cable CU</v>
      </c>
      <c r="AH65" s="381" t="s">
        <v>694</v>
      </c>
      <c r="AI65" s="381" t="s">
        <v>695</v>
      </c>
      <c r="AJ65" s="381" t="s">
        <v>641</v>
      </c>
    </row>
    <row r="66" spans="3:36">
      <c r="C66" s="382" t="s">
        <v>12</v>
      </c>
      <c r="D66" s="382" t="s">
        <v>12</v>
      </c>
      <c r="AB66" s="416">
        <f t="shared" si="3"/>
        <v>11</v>
      </c>
      <c r="AC66" s="385" t="s">
        <v>696</v>
      </c>
      <c r="AF66" s="381">
        <f t="shared" si="2"/>
        <v>18</v>
      </c>
      <c r="AG66" s="381" t="str">
        <f t="shared" si="1"/>
        <v>500 MCM Cable CU</v>
      </c>
      <c r="AH66" s="381" t="s">
        <v>697</v>
      </c>
      <c r="AI66" s="381" t="s">
        <v>698</v>
      </c>
      <c r="AJ66" s="381" t="s">
        <v>641</v>
      </c>
    </row>
    <row r="67" spans="3:36">
      <c r="AB67" s="416">
        <f t="shared" si="3"/>
        <v>12</v>
      </c>
      <c r="AC67" s="385" t="s">
        <v>699</v>
      </c>
      <c r="AF67" s="381">
        <f t="shared" si="2"/>
        <v>19</v>
      </c>
      <c r="AG67" s="381" t="str">
        <f t="shared" si="1"/>
        <v>600 MCM Cable CU</v>
      </c>
      <c r="AH67" s="381" t="s">
        <v>700</v>
      </c>
      <c r="AI67" s="381" t="s">
        <v>701</v>
      </c>
      <c r="AJ67" s="381" t="s">
        <v>641</v>
      </c>
    </row>
    <row r="68" spans="3:36">
      <c r="AB68" s="416">
        <f t="shared" si="3"/>
        <v>13</v>
      </c>
      <c r="AC68" s="385" t="s">
        <v>702</v>
      </c>
      <c r="AF68" s="381">
        <f t="shared" si="2"/>
        <v>20</v>
      </c>
      <c r="AG68" s="381" t="str">
        <f t="shared" si="1"/>
        <v>750 MCM Cable CU</v>
      </c>
      <c r="AH68" s="381" t="s">
        <v>703</v>
      </c>
      <c r="AI68" s="381" t="s">
        <v>704</v>
      </c>
      <c r="AJ68" s="381" t="s">
        <v>641</v>
      </c>
    </row>
    <row r="69" spans="3:36">
      <c r="AB69" s="416">
        <f t="shared" si="3"/>
        <v>14</v>
      </c>
      <c r="AC69" s="385" t="s">
        <v>705</v>
      </c>
      <c r="AF69" s="381">
        <f t="shared" si="2"/>
        <v>21</v>
      </c>
      <c r="AG69" s="381" t="str">
        <f t="shared" si="1"/>
        <v>1000 MCM Cable CU</v>
      </c>
      <c r="AH69" s="381" t="s">
        <v>706</v>
      </c>
      <c r="AI69" s="381" t="s">
        <v>707</v>
      </c>
      <c r="AJ69" s="381" t="s">
        <v>641</v>
      </c>
    </row>
    <row r="70" spans="3:36">
      <c r="AB70" s="416">
        <f t="shared" si="3"/>
        <v>15</v>
      </c>
      <c r="AC70" s="385" t="s">
        <v>708</v>
      </c>
    </row>
    <row r="71" spans="3:36">
      <c r="AB71" s="416">
        <f t="shared" si="3"/>
        <v>16</v>
      </c>
      <c r="AC71" s="385" t="s">
        <v>709</v>
      </c>
      <c r="AF71" s="381" t="e">
        <f>VLOOKUP(AF47,AF49:AG69,2)</f>
        <v>#N/A</v>
      </c>
    </row>
    <row r="72" spans="3:36">
      <c r="AB72" s="416">
        <f t="shared" si="3"/>
        <v>17</v>
      </c>
      <c r="AC72" s="385" t="s">
        <v>710</v>
      </c>
    </row>
    <row r="73" spans="3:36">
      <c r="AB73" s="416">
        <f t="shared" si="3"/>
        <v>18</v>
      </c>
      <c r="AC73" s="385" t="s">
        <v>711</v>
      </c>
    </row>
    <row r="74" spans="3:36">
      <c r="AB74" s="416">
        <f t="shared" si="3"/>
        <v>19</v>
      </c>
      <c r="AC74" s="385" t="s">
        <v>712</v>
      </c>
    </row>
    <row r="75" spans="3:36">
      <c r="AB75" s="416">
        <f t="shared" si="3"/>
        <v>20</v>
      </c>
      <c r="AC75" s="385" t="s">
        <v>713</v>
      </c>
    </row>
    <row r="77" spans="3:36">
      <c r="AC77" s="381" t="str">
        <f>VLOOKUP(L5,AB56:AC75,2)</f>
        <v>1 Conductor(s) Per Phase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1:BL79"/>
  <sheetViews>
    <sheetView topLeftCell="A34" workbookViewId="0">
      <selection activeCell="B44" sqref="A1:IV65536"/>
    </sheetView>
  </sheetViews>
  <sheetFormatPr defaultColWidth="10.6640625" defaultRowHeight="11.25"/>
  <cols>
    <col min="1" max="2" width="9.33203125" style="149" customWidth="1"/>
    <col min="3" max="3" width="18.5" style="149" customWidth="1"/>
    <col min="4" max="4" width="21.1640625" style="149" customWidth="1"/>
    <col min="5" max="16384" width="10.6640625" style="149"/>
  </cols>
  <sheetData>
    <row r="1" spans="3:64">
      <c r="AM1" s="314" t="s">
        <v>149</v>
      </c>
    </row>
    <row r="2" spans="3:64">
      <c r="C2" s="149" t="s">
        <v>0</v>
      </c>
      <c r="D2" s="149" t="s">
        <v>6</v>
      </c>
      <c r="E2" s="149" t="s">
        <v>503</v>
      </c>
      <c r="F2" s="149" t="s">
        <v>506</v>
      </c>
      <c r="G2" s="149" t="s">
        <v>507</v>
      </c>
      <c r="H2" s="149" t="s">
        <v>21</v>
      </c>
      <c r="I2" s="149" t="s">
        <v>508</v>
      </c>
      <c r="J2" s="149" t="s">
        <v>471</v>
      </c>
      <c r="K2" s="149" t="s">
        <v>34</v>
      </c>
      <c r="L2" s="149" t="s">
        <v>34</v>
      </c>
      <c r="M2" s="149" t="s">
        <v>68</v>
      </c>
      <c r="N2" s="149" t="s">
        <v>68</v>
      </c>
      <c r="O2" s="149" t="s">
        <v>68</v>
      </c>
      <c r="P2" s="149" t="s">
        <v>68</v>
      </c>
      <c r="Q2" s="149" t="s">
        <v>32</v>
      </c>
      <c r="R2" s="149" t="s">
        <v>513</v>
      </c>
      <c r="S2" s="149" t="s">
        <v>243</v>
      </c>
      <c r="T2" s="149" t="s">
        <v>24</v>
      </c>
      <c r="U2" s="149" t="s">
        <v>514</v>
      </c>
      <c r="V2" s="149" t="s">
        <v>371</v>
      </c>
      <c r="W2" s="149" t="s">
        <v>517</v>
      </c>
      <c r="X2" s="149" t="s">
        <v>520</v>
      </c>
      <c r="Y2" s="149" t="s">
        <v>517</v>
      </c>
      <c r="Z2" s="149" t="s">
        <v>390</v>
      </c>
      <c r="AA2" s="149" t="s">
        <v>32</v>
      </c>
      <c r="AB2" s="149" t="s">
        <v>32</v>
      </c>
      <c r="AC2" s="149" t="s">
        <v>68</v>
      </c>
      <c r="AD2" s="149" t="s">
        <v>68</v>
      </c>
      <c r="AE2" s="149" t="s">
        <v>68</v>
      </c>
      <c r="AF2" s="149" t="s">
        <v>68</v>
      </c>
      <c r="AG2" s="149" t="s">
        <v>68</v>
      </c>
      <c r="AH2" s="149" t="s">
        <v>68</v>
      </c>
      <c r="AI2" s="149" t="s">
        <v>471</v>
      </c>
      <c r="AJ2" s="149" t="s">
        <v>471</v>
      </c>
      <c r="AK2" s="149" t="s">
        <v>34</v>
      </c>
      <c r="AL2" s="149" t="s">
        <v>34</v>
      </c>
      <c r="AM2" s="149" t="s">
        <v>401</v>
      </c>
      <c r="AN2" s="149" t="s">
        <v>401</v>
      </c>
      <c r="AO2" s="149" t="s">
        <v>403</v>
      </c>
      <c r="AP2" s="149" t="s">
        <v>403</v>
      </c>
      <c r="AQ2" s="149" t="s">
        <v>543</v>
      </c>
      <c r="AR2" s="149" t="s">
        <v>543</v>
      </c>
      <c r="AS2" s="149" t="s">
        <v>543</v>
      </c>
      <c r="AT2" s="149" t="s">
        <v>543</v>
      </c>
      <c r="AU2" s="149" t="s">
        <v>39</v>
      </c>
      <c r="AV2" s="149" t="s">
        <v>39</v>
      </c>
      <c r="AW2" s="149" t="s">
        <v>39</v>
      </c>
      <c r="AX2" s="149" t="s">
        <v>406</v>
      </c>
      <c r="AY2" s="149" t="s">
        <v>406</v>
      </c>
      <c r="AZ2" s="149" t="s">
        <v>406</v>
      </c>
      <c r="BA2" s="149" t="s">
        <v>189</v>
      </c>
      <c r="BB2" s="149" t="s">
        <v>189</v>
      </c>
      <c r="BC2" s="149" t="s">
        <v>189</v>
      </c>
      <c r="BD2" s="149" t="s">
        <v>63</v>
      </c>
      <c r="BE2" s="149" t="s">
        <v>63</v>
      </c>
      <c r="BF2" s="149" t="s">
        <v>63</v>
      </c>
      <c r="BG2" s="149" t="s">
        <v>545</v>
      </c>
      <c r="BH2" s="149" t="s">
        <v>545</v>
      </c>
      <c r="BI2" s="149" t="s">
        <v>545</v>
      </c>
      <c r="BJ2" s="149" t="s">
        <v>243</v>
      </c>
      <c r="BK2" s="149" t="s">
        <v>243</v>
      </c>
      <c r="BL2" s="149" t="s">
        <v>243</v>
      </c>
    </row>
    <row r="3" spans="3:64">
      <c r="C3" s="149" t="s">
        <v>389</v>
      </c>
      <c r="E3" s="149" t="s">
        <v>504</v>
      </c>
      <c r="F3" s="149" t="s">
        <v>170</v>
      </c>
      <c r="G3" s="149" t="s">
        <v>170</v>
      </c>
      <c r="I3" s="149" t="s">
        <v>38</v>
      </c>
      <c r="J3" s="149" t="s">
        <v>38</v>
      </c>
      <c r="K3" s="149" t="s">
        <v>509</v>
      </c>
      <c r="L3" s="149" t="s">
        <v>68</v>
      </c>
      <c r="M3" s="149" t="s">
        <v>510</v>
      </c>
      <c r="N3" s="149" t="s">
        <v>511</v>
      </c>
      <c r="O3" s="149" t="s">
        <v>512</v>
      </c>
      <c r="P3" s="149" t="s">
        <v>306</v>
      </c>
      <c r="Q3" s="149" t="s">
        <v>510</v>
      </c>
      <c r="R3" s="149" t="s">
        <v>48</v>
      </c>
      <c r="S3" s="149" t="s">
        <v>388</v>
      </c>
      <c r="U3" s="149" t="s">
        <v>474</v>
      </c>
      <c r="V3" s="149" t="s">
        <v>515</v>
      </c>
      <c r="W3" s="149" t="s">
        <v>518</v>
      </c>
      <c r="X3" s="149" t="s">
        <v>170</v>
      </c>
      <c r="Y3" s="149" t="s">
        <v>819</v>
      </c>
      <c r="Z3" s="149" t="s">
        <v>505</v>
      </c>
      <c r="AA3" s="149" t="s">
        <v>38</v>
      </c>
      <c r="AB3" s="149" t="s">
        <v>38</v>
      </c>
      <c r="AC3" s="149" t="s">
        <v>38</v>
      </c>
      <c r="AD3" s="149" t="s">
        <v>7</v>
      </c>
      <c r="AE3" s="149" t="s">
        <v>38</v>
      </c>
      <c r="AF3" s="149" t="s">
        <v>7</v>
      </c>
      <c r="AG3" s="149" t="s">
        <v>38</v>
      </c>
      <c r="AH3" s="149" t="s">
        <v>7</v>
      </c>
      <c r="AI3" s="149" t="s">
        <v>38</v>
      </c>
      <c r="AJ3" s="149" t="s">
        <v>7</v>
      </c>
      <c r="AK3" s="149" t="s">
        <v>38</v>
      </c>
      <c r="AL3" s="149" t="s">
        <v>68</v>
      </c>
      <c r="AM3" s="149" t="s">
        <v>541</v>
      </c>
      <c r="AN3" s="149" t="s">
        <v>541</v>
      </c>
      <c r="AO3" s="149" t="s">
        <v>542</v>
      </c>
      <c r="AP3" s="149" t="s">
        <v>542</v>
      </c>
      <c r="AQ3" s="149" t="s">
        <v>56</v>
      </c>
      <c r="AR3" s="149" t="s">
        <v>56</v>
      </c>
      <c r="AS3" s="149" t="s">
        <v>541</v>
      </c>
      <c r="AT3" s="149" t="s">
        <v>541</v>
      </c>
      <c r="AU3" s="149" t="s">
        <v>65</v>
      </c>
      <c r="AV3" s="149" t="s">
        <v>65</v>
      </c>
      <c r="AW3" s="149" t="s">
        <v>65</v>
      </c>
      <c r="AX3" s="149" t="s">
        <v>388</v>
      </c>
      <c r="AY3" s="149" t="s">
        <v>388</v>
      </c>
      <c r="AZ3" s="149" t="s">
        <v>388</v>
      </c>
      <c r="BA3" s="149" t="s">
        <v>65</v>
      </c>
      <c r="BB3" s="149" t="s">
        <v>65</v>
      </c>
      <c r="BC3" s="149" t="s">
        <v>65</v>
      </c>
      <c r="BD3" s="149" t="s">
        <v>65</v>
      </c>
      <c r="BE3" s="149" t="s">
        <v>65</v>
      </c>
      <c r="BF3" s="149" t="s">
        <v>65</v>
      </c>
      <c r="BG3" s="149" t="s">
        <v>63</v>
      </c>
      <c r="BH3" s="149" t="s">
        <v>63</v>
      </c>
      <c r="BI3" s="149" t="s">
        <v>63</v>
      </c>
      <c r="BJ3" s="149" t="s">
        <v>65</v>
      </c>
      <c r="BK3" s="149" t="s">
        <v>65</v>
      </c>
      <c r="BL3" s="149" t="s">
        <v>65</v>
      </c>
    </row>
    <row r="4" spans="3:64">
      <c r="C4" s="149" t="s">
        <v>386</v>
      </c>
      <c r="D4" s="149" t="s">
        <v>387</v>
      </c>
      <c r="E4" s="149" t="s">
        <v>387</v>
      </c>
      <c r="K4" s="149" t="s">
        <v>391</v>
      </c>
      <c r="L4" s="149" t="s">
        <v>391</v>
      </c>
      <c r="U4" s="149" t="s">
        <v>391</v>
      </c>
      <c r="V4" s="149" t="s">
        <v>516</v>
      </c>
      <c r="W4" s="149" t="s">
        <v>519</v>
      </c>
      <c r="X4" s="149" t="s">
        <v>66</v>
      </c>
      <c r="Y4" s="149" t="s">
        <v>12</v>
      </c>
      <c r="Z4" s="149" t="s">
        <v>522</v>
      </c>
      <c r="AB4" s="149" t="s">
        <v>7</v>
      </c>
      <c r="AC4" s="149" t="s">
        <v>55</v>
      </c>
      <c r="AD4" s="149" t="s">
        <v>55</v>
      </c>
      <c r="AE4" s="149" t="s">
        <v>56</v>
      </c>
      <c r="AF4" s="149" t="s">
        <v>56</v>
      </c>
      <c r="AG4" s="149" t="s">
        <v>57</v>
      </c>
      <c r="AH4" s="149" t="s">
        <v>57</v>
      </c>
      <c r="AL4" s="149" t="s">
        <v>7</v>
      </c>
      <c r="AM4" s="149" t="s">
        <v>136</v>
      </c>
      <c r="AN4" s="149" t="s">
        <v>544</v>
      </c>
      <c r="AO4" s="149" t="s">
        <v>136</v>
      </c>
      <c r="AP4" s="149" t="s">
        <v>544</v>
      </c>
      <c r="AQ4" s="149" t="s">
        <v>136</v>
      </c>
      <c r="AR4" s="149" t="s">
        <v>544</v>
      </c>
      <c r="AS4" s="149" t="s">
        <v>136</v>
      </c>
      <c r="AT4" s="149" t="s">
        <v>544</v>
      </c>
      <c r="AU4" s="316" t="s">
        <v>55</v>
      </c>
      <c r="AV4" s="316" t="s">
        <v>56</v>
      </c>
      <c r="AW4" s="316" t="s">
        <v>57</v>
      </c>
      <c r="AX4" s="316" t="s">
        <v>55</v>
      </c>
      <c r="AY4" s="316" t="s">
        <v>56</v>
      </c>
      <c r="AZ4" s="316" t="s">
        <v>57</v>
      </c>
      <c r="BA4" s="316" t="s">
        <v>55</v>
      </c>
      <c r="BB4" s="316" t="s">
        <v>56</v>
      </c>
      <c r="BC4" s="316" t="s">
        <v>57</v>
      </c>
      <c r="BD4" s="316" t="s">
        <v>55</v>
      </c>
      <c r="BE4" s="316" t="s">
        <v>56</v>
      </c>
      <c r="BF4" s="316" t="s">
        <v>57</v>
      </c>
      <c r="BG4" s="316" t="s">
        <v>55</v>
      </c>
      <c r="BH4" s="316" t="s">
        <v>56</v>
      </c>
      <c r="BI4" s="316" t="s">
        <v>57</v>
      </c>
      <c r="BJ4" s="316" t="s">
        <v>55</v>
      </c>
      <c r="BK4" s="316" t="s">
        <v>56</v>
      </c>
      <c r="BL4" s="316" t="s">
        <v>57</v>
      </c>
    </row>
    <row r="5" spans="3:64">
      <c r="C5" s="281" t="str">
        <f>'S-Input'!D3</f>
        <v>HP2</v>
      </c>
      <c r="D5" s="655" t="str">
        <f>IF(ISBLANK('S-Input'!D4)=TRUE," ",'S-Input'!D4)</f>
        <v>CP1</v>
      </c>
      <c r="E5" s="152">
        <f>'S-Input'!H5</f>
        <v>84</v>
      </c>
      <c r="F5" s="152">
        <f>'S-Input'!H6</f>
        <v>240</v>
      </c>
      <c r="G5" s="152">
        <f>'S-Input'!H7</f>
        <v>120</v>
      </c>
      <c r="H5" s="152">
        <f>'S-Input'!H8</f>
        <v>1</v>
      </c>
      <c r="I5" s="149">
        <f>'S-Input'!H10</f>
        <v>0</v>
      </c>
      <c r="J5" s="149">
        <f>'S-Input'!H11</f>
        <v>0</v>
      </c>
      <c r="K5" s="149">
        <f>'S-Input'!H12</f>
        <v>0</v>
      </c>
      <c r="L5" s="149" t="str">
        <f>'S-Input'!H13</f>
        <v>Y</v>
      </c>
      <c r="M5" s="152" t="str">
        <f>'S-Input'!H14</f>
        <v>THHN</v>
      </c>
      <c r="N5" s="152" t="str">
        <f>'S-Input'!H15</f>
        <v>AL</v>
      </c>
      <c r="O5" s="149">
        <f>'S-Input'!H16</f>
        <v>75</v>
      </c>
      <c r="P5" s="149">
        <f>'S-Input'!H17</f>
        <v>50</v>
      </c>
      <c r="Q5" s="149" t="str">
        <f>'S-Input'!H18</f>
        <v>EMT</v>
      </c>
      <c r="R5" s="152">
        <f>'S-Input'!H19</f>
        <v>0</v>
      </c>
      <c r="S5" s="152">
        <f>'S-Input'!H21</f>
        <v>0</v>
      </c>
      <c r="T5" s="152">
        <f>'S-Input'!H22</f>
        <v>0</v>
      </c>
      <c r="U5" s="149" t="str">
        <f>'S-Input'!H24</f>
        <v>Y</v>
      </c>
      <c r="V5" s="153">
        <f>'S-Input'!O3</f>
        <v>0</v>
      </c>
      <c r="W5" s="152" t="str">
        <f>'Short No-Xmfr'!H3</f>
        <v>15,304</v>
      </c>
      <c r="X5" s="317">
        <f>'Short No-Xmfr'!J3</f>
        <v>1</v>
      </c>
      <c r="Y5" s="234">
        <f>ROUND('S-Input'!O8/1000,1)</f>
        <v>0</v>
      </c>
      <c r="Z5" s="149">
        <f>'S-Input'!DA54</f>
        <v>1</v>
      </c>
      <c r="AA5" s="149" t="str">
        <f>'S-Input'!CV33</f>
        <v>3/4''</v>
      </c>
      <c r="AB5" s="149">
        <f>'S-Input'!CV30</f>
        <v>0.75</v>
      </c>
      <c r="AC5" s="149" t="str">
        <f>'S-Input'!CY54</f>
        <v>#6</v>
      </c>
      <c r="AD5" s="149">
        <f>'S-Input'!CZ54</f>
        <v>5</v>
      </c>
      <c r="AE5" s="149" t="str">
        <f>'S-Input'!CY55</f>
        <v>#6</v>
      </c>
      <c r="AF5" s="149">
        <f>'S-Input'!CZ55</f>
        <v>5</v>
      </c>
      <c r="AG5" s="149" t="str">
        <f>'S-Input'!CY54</f>
        <v>#6</v>
      </c>
      <c r="AH5" s="149" t="str">
        <f>'S-Input'!CY54</f>
        <v>#6</v>
      </c>
      <c r="AI5" s="149" t="str">
        <f>'S-Input'!CY56</f>
        <v>#6</v>
      </c>
      <c r="AJ5" s="149">
        <f>'S-Input'!CZ56</f>
        <v>5</v>
      </c>
      <c r="AK5" s="149" t="str">
        <f>'S-Input'!CY81</f>
        <v>#8</v>
      </c>
      <c r="AL5" s="149">
        <f>'S-Input'!CZ81</f>
        <v>4</v>
      </c>
      <c r="AM5" s="154" t="str">
        <f>'S-Input'!EP106</f>
        <v>0.0 VD</v>
      </c>
      <c r="AN5" s="156" t="str">
        <f>'S-Input'!EU99</f>
        <v>0.0 % VD</v>
      </c>
      <c r="AO5" s="154" t="str">
        <f>'S-Input'!EQ106</f>
        <v>0.0 VD</v>
      </c>
      <c r="AP5" s="149" t="str">
        <f>'S-Input'!EV99</f>
        <v>0.0 % VD</v>
      </c>
      <c r="AQ5" s="154" t="str">
        <f>'S-Input'!ER106</f>
        <v>0.0 VD</v>
      </c>
      <c r="AR5" s="149" t="str">
        <f>'S-Input'!EW99</f>
        <v>0.0 % VD</v>
      </c>
      <c r="AS5" s="149" t="str">
        <f>'S-Input'!ES106</f>
        <v>0.0 VD</v>
      </c>
      <c r="AT5" s="149" t="str">
        <f>'S-Input'!EX99</f>
        <v>0.0 % VD</v>
      </c>
      <c r="AU5" s="152">
        <f>'S-Calcs'!AM12</f>
        <v>0</v>
      </c>
      <c r="AV5" s="152">
        <f>'S-Calcs'!AN12</f>
        <v>0</v>
      </c>
      <c r="AW5" s="152">
        <f>'S-Calcs'!AO12</f>
        <v>0</v>
      </c>
      <c r="AX5" s="152">
        <f>'S-Calcs'!AM13</f>
        <v>0</v>
      </c>
      <c r="AY5" s="152">
        <f>'S-Calcs'!AN13</f>
        <v>0</v>
      </c>
      <c r="AZ5" s="152">
        <f>'S-Calcs'!AO13</f>
        <v>0</v>
      </c>
      <c r="BA5" s="152">
        <f>'S-Calcs'!AM14</f>
        <v>0</v>
      </c>
      <c r="BB5" s="152">
        <f>'S-Calcs'!AN14</f>
        <v>0</v>
      </c>
      <c r="BC5" s="152">
        <f>'S-Calcs'!AO14</f>
        <v>0</v>
      </c>
      <c r="BD5" s="152">
        <f>'S-Input'!AU76</f>
        <v>0</v>
      </c>
      <c r="BE5" s="152">
        <f>'S-Input'!AW76</f>
        <v>0</v>
      </c>
      <c r="BF5" s="152">
        <f>'S-Input'!AY76</f>
        <v>0</v>
      </c>
      <c r="BG5" s="152">
        <f>'S-Input'!AU77</f>
        <v>0</v>
      </c>
      <c r="BH5" s="152">
        <f>'S-Input'!AW77</f>
        <v>0</v>
      </c>
      <c r="BI5" s="152">
        <f>'S-Input'!AY77</f>
        <v>0</v>
      </c>
      <c r="BJ5" s="152">
        <f>'S-Input'!BA76</f>
        <v>0</v>
      </c>
      <c r="BK5" s="152">
        <f>'S-Input'!BC76</f>
        <v>0</v>
      </c>
      <c r="BL5" s="152">
        <f>'S-Input'!BE76</f>
        <v>0</v>
      </c>
    </row>
    <row r="6" spans="3:64">
      <c r="D6" s="282"/>
    </row>
    <row r="7" spans="3:64">
      <c r="C7" s="149" t="s">
        <v>770</v>
      </c>
      <c r="D7" s="149" t="str">
        <f>Input!O15</f>
        <v>NONE</v>
      </c>
    </row>
    <row r="8" spans="3:64">
      <c r="AM8" s="314"/>
    </row>
    <row r="9" spans="3:64">
      <c r="C9" s="314" t="s">
        <v>546</v>
      </c>
    </row>
    <row r="10" spans="3:64">
      <c r="C10" s="149" t="s">
        <v>371</v>
      </c>
      <c r="G10" s="149" t="s">
        <v>12</v>
      </c>
    </row>
    <row r="11" spans="3:64">
      <c r="C11" s="149" t="s">
        <v>547</v>
      </c>
      <c r="G11" s="281" t="str">
        <f>'S-Input'!D3</f>
        <v>HP2</v>
      </c>
    </row>
    <row r="12" spans="3:64">
      <c r="C12" s="149" t="str">
        <f>Input!O6</f>
        <v>15,304</v>
      </c>
    </row>
    <row r="13" spans="3:64">
      <c r="G13" s="595" t="str">
        <f>CONCATENATE(G10,G11)</f>
        <v xml:space="preserve"> HP2</v>
      </c>
    </row>
    <row r="15" spans="3:64">
      <c r="C15" s="149" t="s">
        <v>817</v>
      </c>
      <c r="D15" s="560" t="str">
        <f>IF(D7="NONE"," ",'S-Input'!X15)</f>
        <v xml:space="preserve"> </v>
      </c>
    </row>
    <row r="16" spans="3:64">
      <c r="C16" s="149" t="s">
        <v>776</v>
      </c>
      <c r="D16" s="149" t="s">
        <v>12</v>
      </c>
    </row>
    <row r="17" spans="2:4">
      <c r="C17" s="149" t="s">
        <v>362</v>
      </c>
      <c r="D17" s="149">
        <f>'S-Input'!O18</f>
        <v>0</v>
      </c>
    </row>
    <row r="18" spans="2:4">
      <c r="D18" s="316" t="s">
        <v>361</v>
      </c>
    </row>
    <row r="19" spans="2:4">
      <c r="C19" s="149" t="s">
        <v>98</v>
      </c>
      <c r="D19" s="316">
        <f>'S-Input'!O19</f>
        <v>0</v>
      </c>
    </row>
    <row r="20" spans="2:4">
      <c r="C20" s="149" t="s">
        <v>776</v>
      </c>
      <c r="D20" s="149" t="s">
        <v>12</v>
      </c>
    </row>
    <row r="21" spans="2:4">
      <c r="C21" s="149" t="s">
        <v>15</v>
      </c>
      <c r="D21" s="566">
        <f>'S-Input'!J18</f>
        <v>0</v>
      </c>
    </row>
    <row r="23" spans="2:4">
      <c r="D23" s="560" t="str">
        <f>IF(D7="NONE"," ",CONCATENATE(D16,D17,D18,D19,D20,D21))</f>
        <v xml:space="preserve"> </v>
      </c>
    </row>
    <row r="26" spans="2:4">
      <c r="C26" s="149" t="s">
        <v>811</v>
      </c>
      <c r="D26" s="560" t="str">
        <f>IF(D7="NONE"," ",'S-Input'!GH87)</f>
        <v xml:space="preserve"> </v>
      </c>
    </row>
    <row r="27" spans="2:4">
      <c r="C27" s="149" t="s">
        <v>812</v>
      </c>
      <c r="D27" s="560" t="str">
        <f>IF('S-Input'!J13="N"," ",IF(D7="NONE"," ",'S-Input'!GH88))</f>
        <v xml:space="preserve"> </v>
      </c>
    </row>
    <row r="29" spans="2:4">
      <c r="B29" s="153">
        <f>'S-Input'!O3</f>
        <v>0</v>
      </c>
      <c r="C29" s="149" t="s">
        <v>818</v>
      </c>
      <c r="D29" s="316">
        <f>Y5</f>
        <v>0</v>
      </c>
    </row>
    <row r="30" spans="2:4">
      <c r="D30" s="316" t="s">
        <v>816</v>
      </c>
    </row>
    <row r="31" spans="2:4">
      <c r="C31" s="149" t="s">
        <v>818</v>
      </c>
      <c r="D31" s="563" t="str">
        <f>IF(B29="NONE"," ",IF(D7="NONE"," ",CONCATENATE(D29,D30)))</f>
        <v xml:space="preserve"> </v>
      </c>
    </row>
    <row r="33" spans="3:4">
      <c r="D33" s="149" t="s">
        <v>12</v>
      </c>
    </row>
    <row r="34" spans="3:4">
      <c r="C34" s="149" t="s">
        <v>821</v>
      </c>
      <c r="D34" s="566" t="str">
        <f>'S-Input'!GW99</f>
        <v>0.0 % VD</v>
      </c>
    </row>
    <row r="35" spans="3:4">
      <c r="C35" s="149" t="s">
        <v>580</v>
      </c>
      <c r="D35" s="316" t="s">
        <v>827</v>
      </c>
    </row>
    <row r="36" spans="3:4">
      <c r="D36" s="563" t="str">
        <f>IF(D7="NONE"," ",CONCATENATE(D33,D34))</f>
        <v xml:space="preserve"> </v>
      </c>
    </row>
    <row r="38" spans="3:4">
      <c r="C38" s="149" t="s">
        <v>822</v>
      </c>
      <c r="D38" s="592">
        <f>ROUND('S-Input'!O22,1)</f>
        <v>0</v>
      </c>
    </row>
    <row r="39" spans="3:4">
      <c r="D39" s="316" t="s">
        <v>823</v>
      </c>
    </row>
    <row r="40" spans="3:4">
      <c r="D40" s="563" t="str">
        <f>IF('S-Input'!O22=" ","NONE",IF(D7="NONE"," ",CONCATENATE(D38,D39)))</f>
        <v xml:space="preserve"> </v>
      </c>
    </row>
    <row r="42" spans="3:4">
      <c r="C42" s="149" t="s">
        <v>824</v>
      </c>
      <c r="D42" s="562">
        <f>'S-Input'!O23</f>
        <v>0</v>
      </c>
    </row>
    <row r="43" spans="3:4">
      <c r="D43" s="316" t="s">
        <v>825</v>
      </c>
    </row>
    <row r="44" spans="3:4">
      <c r="D44" s="563" t="str">
        <f>IF('S-Input'!O22=" ","NONE",IF(D7="NONE"," ",CONCATENATE(D42,D43)))</f>
        <v xml:space="preserve"> </v>
      </c>
    </row>
    <row r="45" spans="3:4">
      <c r="D45" s="149" t="s">
        <v>12</v>
      </c>
    </row>
    <row r="46" spans="3:4">
      <c r="C46" s="149" t="s">
        <v>661</v>
      </c>
      <c r="D46" s="567" t="e">
        <f>ROUND('Short With Xmfr'!P27/1000,1)</f>
        <v>#DIV/0!</v>
      </c>
    </row>
    <row r="47" spans="3:4">
      <c r="D47" s="316" t="s">
        <v>816</v>
      </c>
    </row>
    <row r="48" spans="3:4">
      <c r="D48" s="563" t="str">
        <f>IF(B29="NONE"," ",IF('S-Input'!O22=" ","NONE",IF(D7="NONE"," ",CONCATENATE(D45,D46,D47))))</f>
        <v xml:space="preserve"> </v>
      </c>
    </row>
    <row r="50" spans="3:8">
      <c r="C50" s="149" t="s">
        <v>582</v>
      </c>
    </row>
    <row r="51" spans="3:8">
      <c r="C51" s="149" t="s">
        <v>776</v>
      </c>
      <c r="D51" s="149" t="s">
        <v>12</v>
      </c>
    </row>
    <row r="52" spans="3:8">
      <c r="C52" s="149" t="s">
        <v>362</v>
      </c>
      <c r="D52" s="149">
        <f>'S-Input'!O10</f>
        <v>1</v>
      </c>
    </row>
    <row r="53" spans="3:8">
      <c r="D53" s="316" t="s">
        <v>361</v>
      </c>
    </row>
    <row r="54" spans="3:8">
      <c r="C54" s="149" t="str">
        <f>IF('S-Input'!H9&lt;&gt;"CONDUIT","CABLE TYPE","CONDUIT SIZE")</f>
        <v>CABLE TYPE</v>
      </c>
      <c r="D54" s="316" t="str">
        <f>'S-Input'!O11</f>
        <v xml:space="preserve"> SER CABLE</v>
      </c>
    </row>
    <row r="55" spans="3:8">
      <c r="C55" s="149" t="s">
        <v>776</v>
      </c>
      <c r="D55" s="149" t="s">
        <v>12</v>
      </c>
    </row>
    <row r="56" spans="3:8">
      <c r="C56" s="149" t="s">
        <v>15</v>
      </c>
      <c r="D56" s="316" t="str">
        <f>IF('S-Input'!H9&lt;&gt;"CONDUIT","",'S-Input'!H18)</f>
        <v/>
      </c>
      <c r="H56" s="149" t="s">
        <v>12</v>
      </c>
    </row>
    <row r="57" spans="3:8">
      <c r="H57" s="149">
        <f>'S-Input'!H17</f>
        <v>50</v>
      </c>
    </row>
    <row r="58" spans="3:8">
      <c r="D58" s="595" t="str">
        <f>IF(D7="NONE"," ",CONCATENATE(D51,D52,D53,D54,D55,D56))</f>
        <v xml:space="preserve"> </v>
      </c>
      <c r="H58" s="282" t="s">
        <v>829</v>
      </c>
    </row>
    <row r="61" spans="3:8">
      <c r="D61" s="149" t="s">
        <v>32</v>
      </c>
      <c r="F61" s="149" t="s">
        <v>968</v>
      </c>
      <c r="H61" s="595" t="str">
        <f>CONCATENATE(H56,H57,H58)</f>
        <v xml:space="preserve"> 50'</v>
      </c>
    </row>
    <row r="62" spans="3:8">
      <c r="C62" s="149" t="s">
        <v>811</v>
      </c>
      <c r="D62" s="564" t="str">
        <f>IF(D7="NONE"," ",'S-Input'!EC93)</f>
        <v xml:space="preserve"> </v>
      </c>
      <c r="F62" s="152" t="str">
        <f>'S-Sec Cable'!F18</f>
        <v xml:space="preserve"> 3-#6 AL  </v>
      </c>
      <c r="H62" s="595" t="str">
        <f>IF('S-Input'!H$9&lt;&gt;"CONDUIT",F62,D62)</f>
        <v xml:space="preserve"> 3-#6 AL  </v>
      </c>
    </row>
    <row r="63" spans="3:8">
      <c r="C63" s="149" t="s">
        <v>812</v>
      </c>
      <c r="D63" s="564" t="str">
        <f>IF(D7="NONE"," ",'S-Input'!EC94)</f>
        <v xml:space="preserve"> </v>
      </c>
      <c r="F63" s="152" t="str">
        <f>'S-Sec Cable'!G18</f>
        <v xml:space="preserve"> 1-#6 GND</v>
      </c>
      <c r="H63" s="595" t="str">
        <f>IF('S-Input'!H$9&lt;&gt;"CONDUIT",F63,D63)</f>
        <v xml:space="preserve"> 1-#6 GND</v>
      </c>
    </row>
    <row r="64" spans="3:8">
      <c r="C64" s="149" t="s">
        <v>813</v>
      </c>
      <c r="D64" s="564" t="str">
        <f>IF(D7="NONE"," ",'S-Input'!EC95)</f>
        <v xml:space="preserve"> </v>
      </c>
      <c r="F64" s="152" t="s">
        <v>12</v>
      </c>
      <c r="H64" s="595" t="str">
        <f>IF('S-Input'!H$9&lt;&gt;"CONDUIT",F64,D64)</f>
        <v xml:space="preserve"> </v>
      </c>
    </row>
    <row r="65" spans="3:8">
      <c r="C65" s="149" t="s">
        <v>814</v>
      </c>
      <c r="D65" s="564" t="str">
        <f>IF(D7="NONE"," ",'S-Input'!EC96)</f>
        <v xml:space="preserve"> </v>
      </c>
      <c r="F65" s="152" t="s">
        <v>12</v>
      </c>
      <c r="H65" s="595" t="str">
        <f>IF('S-Input'!H$9&lt;&gt;"CONDUIT",F65,D65)</f>
        <v xml:space="preserve"> </v>
      </c>
    </row>
    <row r="67" spans="3:8">
      <c r="C67" s="149" t="s">
        <v>380</v>
      </c>
      <c r="D67" s="149">
        <f>ROUND('Short No-Xmfr'!H30/1000,1)</f>
        <v>2.9</v>
      </c>
    </row>
    <row r="68" spans="3:8">
      <c r="D68" s="316" t="s">
        <v>816</v>
      </c>
    </row>
    <row r="69" spans="3:8">
      <c r="D69" s="563" t="str">
        <f>IF(B29="NONE"," ",IF(D7="NONE"," ",CONCATENATE(D66,D67,D68)))</f>
        <v xml:space="preserve"> </v>
      </c>
    </row>
    <row r="71" spans="3:8">
      <c r="D71" s="149" t="s">
        <v>12</v>
      </c>
    </row>
    <row r="72" spans="3:8">
      <c r="C72" s="149" t="s">
        <v>821</v>
      </c>
      <c r="D72" s="566" t="str">
        <f>'S-Input'!EV111</f>
        <v>0.0</v>
      </c>
    </row>
    <row r="73" spans="3:8">
      <c r="C73" s="149" t="s">
        <v>580</v>
      </c>
      <c r="D73" s="316" t="s">
        <v>827</v>
      </c>
    </row>
    <row r="74" spans="3:8">
      <c r="D74" s="563" t="str">
        <f>IF(D7="NONE"," ",CONCATENATE(D71,D72,D73))</f>
        <v xml:space="preserve"> </v>
      </c>
    </row>
    <row r="77" spans="3:8">
      <c r="C77" s="149" t="s">
        <v>770</v>
      </c>
      <c r="D77" s="149" t="s">
        <v>12</v>
      </c>
    </row>
    <row r="78" spans="3:8">
      <c r="C78" s="149" t="s">
        <v>389</v>
      </c>
      <c r="D78" s="565" t="str">
        <f>'S-Input'!D3</f>
        <v>HP2</v>
      </c>
    </row>
    <row r="79" spans="3:8">
      <c r="D79" s="560" t="str">
        <f>IF(D7="NONE"," ",CONCATENATE(D77,D78))</f>
        <v xml:space="preserve"> </v>
      </c>
    </row>
  </sheetData>
  <phoneticPr fontId="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100"/>
  <sheetViews>
    <sheetView showGridLines="0" showRowColHeaders="0" showOutlineSymbols="0" workbookViewId="0">
      <selection activeCell="H1" sqref="H1:IV65536"/>
    </sheetView>
  </sheetViews>
  <sheetFormatPr defaultColWidth="0" defaultRowHeight="11.25" zeroHeight="1"/>
  <cols>
    <col min="1" max="1" width="2.33203125" style="1" customWidth="1"/>
    <col min="2" max="2" width="6.83203125" style="1" customWidth="1"/>
    <col min="3" max="3" width="24.83203125" style="24" customWidth="1"/>
    <col min="4" max="4" width="3.83203125" style="22" customWidth="1"/>
    <col min="5" max="5" width="24.83203125" style="24" customWidth="1"/>
    <col min="6" max="6" width="6.83203125" style="22" customWidth="1"/>
    <col min="7" max="7" width="2.33203125" style="1" customWidth="1"/>
    <col min="8" max="235" width="10.83203125" style="1" hidden="1" customWidth="1"/>
    <col min="236" max="16384" width="0" style="1" hidden="1"/>
  </cols>
  <sheetData>
    <row r="1" spans="1:9" ht="12" customHeight="1">
      <c r="H1" s="1" t="s">
        <v>25</v>
      </c>
    </row>
    <row r="2" spans="1:9" ht="12" customHeight="1">
      <c r="B2" s="40" t="s">
        <v>215</v>
      </c>
      <c r="C2" s="41"/>
      <c r="D2" s="318"/>
      <c r="E2" s="41" t="str">
        <f>IF(ISBLANK('S-Input'!D3)=TRUE," ",'S-Input'!D3)</f>
        <v>HP2</v>
      </c>
      <c r="F2" s="42"/>
      <c r="H2" s="1" t="s">
        <v>3</v>
      </c>
    </row>
    <row r="3" spans="1:9" ht="12" customHeight="1">
      <c r="A3" s="27"/>
      <c r="B3" s="43" t="str">
        <f>IF(H3=999,"THIS SUB PANEL IS NOT BEING USED",IF(H3=888,"ERROR IN MAIN PANEL",IF(H3=777,"ERROR IN HOUSE PANEL","DIRECTORY WILL NOT DISPLAY UNTIL ALL ERRORS ARE CORECTED")))</f>
        <v>THIS SUB PANEL IS NOT BEING USED</v>
      </c>
      <c r="C3" s="29"/>
      <c r="D3" s="27"/>
      <c r="E3" s="29"/>
      <c r="F3" s="34"/>
      <c r="G3" s="27"/>
      <c r="H3" s="28">
        <f>IF('S-Input'!S4="NONE",999,IF(Input!O6="ERROR",777,'S-Input'!CF14))</f>
        <v>999</v>
      </c>
      <c r="I3" s="28">
        <f>'S-Input'!H5</f>
        <v>84</v>
      </c>
    </row>
    <row r="4" spans="1:9" ht="12" customHeight="1">
      <c r="A4" s="27"/>
      <c r="B4" s="18" t="s">
        <v>9</v>
      </c>
      <c r="C4" s="19" t="s">
        <v>216</v>
      </c>
      <c r="D4" s="20" t="str">
        <f>'S-Input'!I29</f>
        <v>L1</v>
      </c>
      <c r="E4" s="44" t="s">
        <v>216</v>
      </c>
      <c r="F4" s="25" t="s">
        <v>9</v>
      </c>
      <c r="G4" s="27"/>
      <c r="H4" s="27"/>
      <c r="I4" s="27"/>
    </row>
    <row r="5" spans="1:9" ht="12" customHeight="1">
      <c r="A5" s="27"/>
      <c r="B5" s="17">
        <v>1</v>
      </c>
      <c r="C5" s="19" t="str">
        <f>IF(ISBLANK('S-Input'!D29)=TRUE," ",'S-Input'!D29)</f>
        <v xml:space="preserve"> </v>
      </c>
      <c r="D5" s="18" t="str">
        <f>'S-Input'!I30</f>
        <v>L2</v>
      </c>
      <c r="E5" s="19" t="str">
        <f>IF(ISBLANK('S-Input'!N29)=TRUE," ",'S-Input'!N29)</f>
        <v>LIGHTS</v>
      </c>
      <c r="F5" s="18">
        <v>2</v>
      </c>
      <c r="G5" s="27"/>
      <c r="H5" s="27">
        <f>'S-Input'!T29</f>
        <v>0</v>
      </c>
      <c r="I5" s="27"/>
    </row>
    <row r="6" spans="1:9" ht="12" customHeight="1">
      <c r="A6" s="27"/>
      <c r="B6" s="17">
        <v>3</v>
      </c>
      <c r="C6" s="19" t="str">
        <f>IF(ISBLANK('S-Input'!D30)=TRUE," ",'S-Input'!D30)</f>
        <v xml:space="preserve"> </v>
      </c>
      <c r="D6" s="18" t="str">
        <f>'S-Input'!I31</f>
        <v>L1</v>
      </c>
      <c r="E6" s="19" t="str">
        <f>IF(ISBLANK('S-Input'!N30)=TRUE," ",'S-Input'!N30)</f>
        <v>LIGHTS</v>
      </c>
      <c r="F6" s="18">
        <v>4</v>
      </c>
      <c r="G6" s="27"/>
      <c r="H6" s="27">
        <f>'S-Input'!T30</f>
        <v>0</v>
      </c>
      <c r="I6" s="27"/>
    </row>
    <row r="7" spans="1:9" ht="12" customHeight="1">
      <c r="A7" s="27"/>
      <c r="B7" s="17">
        <v>5</v>
      </c>
      <c r="C7" s="19" t="str">
        <f>IF(ISBLANK('S-Input'!D31)=TRUE," ",'S-Input'!D31)</f>
        <v xml:space="preserve"> </v>
      </c>
      <c r="D7" s="18" t="str">
        <f>'S-Input'!I32</f>
        <v>L2</v>
      </c>
      <c r="E7" s="19" t="str">
        <f>IF(ISBLANK('S-Input'!N31)=TRUE," ",'S-Input'!N31)</f>
        <v>LIGHTS</v>
      </c>
      <c r="F7" s="18">
        <v>6</v>
      </c>
      <c r="G7" s="27"/>
      <c r="H7" s="27">
        <f>'S-Input'!T31</f>
        <v>0</v>
      </c>
      <c r="I7" s="27"/>
    </row>
    <row r="8" spans="1:9" ht="12" customHeight="1">
      <c r="A8" s="27"/>
      <c r="B8" s="17">
        <v>7</v>
      </c>
      <c r="C8" s="19" t="str">
        <f>IF(ISBLANK('S-Input'!D32)=TRUE," ",'S-Input'!D32)</f>
        <v xml:space="preserve"> </v>
      </c>
      <c r="D8" s="18" t="str">
        <f>'S-Input'!I33</f>
        <v>L1</v>
      </c>
      <c r="E8" s="19" t="str">
        <f>IF(ISBLANK('S-Input'!N32)=TRUE," ",'S-Input'!N32)</f>
        <v>LIGHTS</v>
      </c>
      <c r="F8" s="18">
        <v>8</v>
      </c>
      <c r="G8" s="27"/>
      <c r="H8" s="27">
        <f>'S-Input'!T32</f>
        <v>0</v>
      </c>
      <c r="I8" s="27"/>
    </row>
    <row r="9" spans="1:9" ht="12" customHeight="1">
      <c r="A9" s="27"/>
      <c r="B9" s="17">
        <v>9</v>
      </c>
      <c r="C9" s="19" t="str">
        <f>IF(ISBLANK('S-Input'!D33)=TRUE," ",'S-Input'!D33)</f>
        <v xml:space="preserve"> </v>
      </c>
      <c r="D9" s="18" t="str">
        <f>'S-Input'!I34</f>
        <v>L2</v>
      </c>
      <c r="E9" s="19" t="str">
        <f>IF(ISBLANK('S-Input'!N33)=TRUE," ",'S-Input'!N33)</f>
        <v>LIGHTS</v>
      </c>
      <c r="F9" s="18">
        <v>10</v>
      </c>
      <c r="G9" s="27"/>
      <c r="H9" s="27">
        <f>'S-Input'!T33</f>
        <v>0</v>
      </c>
      <c r="I9" s="27"/>
    </row>
    <row r="10" spans="1:9" ht="12" customHeight="1">
      <c r="A10" s="27"/>
      <c r="B10" s="17">
        <v>11</v>
      </c>
      <c r="C10" s="19" t="str">
        <f>IF(ISBLANK('S-Input'!D34)=TRUE," ",'S-Input'!D34)</f>
        <v>PINK CELLS ARE</v>
      </c>
      <c r="D10" s="18" t="str">
        <f>'S-Input'!I35</f>
        <v>L1</v>
      </c>
      <c r="E10" s="19" t="str">
        <f>IF(ISBLANK('S-Input'!N34)=TRUE," ",'S-Input'!N34)</f>
        <v>LIGHTS</v>
      </c>
      <c r="F10" s="18">
        <v>12</v>
      </c>
      <c r="G10" s="27"/>
      <c r="H10" s="27">
        <f>'S-Input'!T34</f>
        <v>0</v>
      </c>
      <c r="I10" s="27"/>
    </row>
    <row r="11" spans="1:9" ht="12" customHeight="1">
      <c r="A11" s="27"/>
      <c r="B11" s="17">
        <v>13</v>
      </c>
      <c r="C11" s="19" t="str">
        <f>IF(ISBLANK('S-Input'!D35)=TRUE," ",'S-Input'!D35)</f>
        <v>PROTECTED IN DEMO</v>
      </c>
      <c r="D11" s="18" t="str">
        <f>'S-Input'!I36</f>
        <v>L2</v>
      </c>
      <c r="E11" s="19" t="str">
        <f>IF(ISBLANK('S-Input'!N35)=TRUE," ",'S-Input'!N35)</f>
        <v>LIGHTS</v>
      </c>
      <c r="F11" s="18">
        <v>14</v>
      </c>
      <c r="G11" s="27"/>
      <c r="H11" s="27">
        <f>'S-Input'!T35</f>
        <v>0</v>
      </c>
      <c r="I11" s="27"/>
    </row>
    <row r="12" spans="1:9" ht="12" customHeight="1">
      <c r="A12" s="27"/>
      <c r="B12" s="17">
        <v>15</v>
      </c>
      <c r="C12" s="19" t="str">
        <f>IF(ISBLANK('S-Input'!D36)=TRUE," ",'S-Input'!D36)</f>
        <v xml:space="preserve"> </v>
      </c>
      <c r="D12" s="18" t="str">
        <f>'S-Input'!I37</f>
        <v>L1</v>
      </c>
      <c r="E12" s="19" t="str">
        <f>IF(ISBLANK('S-Input'!N36)=TRUE," ",'S-Input'!N36)</f>
        <v>LIGHTS</v>
      </c>
      <c r="F12" s="18">
        <v>16</v>
      </c>
      <c r="G12" s="27"/>
      <c r="H12" s="27">
        <f>'S-Input'!T36</f>
        <v>0</v>
      </c>
      <c r="I12" s="27"/>
    </row>
    <row r="13" spans="1:9" ht="12" customHeight="1">
      <c r="A13" s="27"/>
      <c r="B13" s="17">
        <v>17</v>
      </c>
      <c r="C13" s="19" t="str">
        <f>IF(ISBLANK('S-Input'!D37)=TRUE," ",'S-Input'!D37)</f>
        <v xml:space="preserve"> </v>
      </c>
      <c r="D13" s="18" t="str">
        <f>'S-Input'!I38</f>
        <v>L2</v>
      </c>
      <c r="E13" s="19" t="str">
        <f>IF(ISBLANK('S-Input'!N37)=TRUE," ",'S-Input'!N37)</f>
        <v>LIGHTS</v>
      </c>
      <c r="F13" s="18">
        <v>18</v>
      </c>
      <c r="G13" s="27"/>
      <c r="H13" s="27">
        <f>'S-Input'!T37</f>
        <v>0</v>
      </c>
      <c r="I13" s="27"/>
    </row>
    <row r="14" spans="1:9" ht="12" customHeight="1">
      <c r="A14" s="27"/>
      <c r="B14" s="17">
        <v>19</v>
      </c>
      <c r="C14" s="19" t="str">
        <f>IF(ISBLANK('S-Input'!D38)=TRUE," ",'S-Input'!D38)</f>
        <v xml:space="preserve"> </v>
      </c>
      <c r="D14" s="18" t="str">
        <f>'S-Input'!I39</f>
        <v>L1</v>
      </c>
      <c r="E14" s="19" t="str">
        <f>IF(ISBLANK('S-Input'!N38)=TRUE," ",'S-Input'!N38)</f>
        <v>LIGHTS</v>
      </c>
      <c r="F14" s="18">
        <v>20</v>
      </c>
      <c r="G14" s="27"/>
      <c r="H14" s="27">
        <f>'S-Input'!T38</f>
        <v>0</v>
      </c>
      <c r="I14" s="27"/>
    </row>
    <row r="15" spans="1:9" ht="12" customHeight="1">
      <c r="A15" s="27"/>
      <c r="B15" s="17">
        <v>21</v>
      </c>
      <c r="C15" s="19" t="str">
        <f>IF(ISBLANK('S-Input'!D39)=TRUE," ",'S-Input'!D39)</f>
        <v xml:space="preserve"> </v>
      </c>
      <c r="D15" s="18" t="str">
        <f>'S-Input'!I40</f>
        <v>L2</v>
      </c>
      <c r="E15" s="19" t="str">
        <f>IF(ISBLANK('S-Input'!N39)=TRUE," ",'S-Input'!N39)</f>
        <v>LIGHTS</v>
      </c>
      <c r="F15" s="18">
        <v>22</v>
      </c>
      <c r="G15" s="27"/>
      <c r="H15" s="27">
        <f>'S-Input'!T39</f>
        <v>0</v>
      </c>
      <c r="I15" s="27"/>
    </row>
    <row r="16" spans="1:9" ht="12" customHeight="1">
      <c r="A16" s="27"/>
      <c r="B16" s="17">
        <v>23</v>
      </c>
      <c r="C16" s="19" t="str">
        <f>IF(ISBLANK('S-Input'!D40)=TRUE," ",'S-Input'!D40)</f>
        <v xml:space="preserve"> </v>
      </c>
      <c r="D16" s="18" t="str">
        <f>'S-Input'!I41</f>
        <v>L1</v>
      </c>
      <c r="E16" s="19" t="str">
        <f>IF(ISBLANK('S-Input'!N40)=TRUE," ",'S-Input'!N40)</f>
        <v>LIGHTS</v>
      </c>
      <c r="F16" s="18">
        <v>24</v>
      </c>
      <c r="G16" s="27"/>
      <c r="H16" s="27">
        <f>'S-Input'!T40</f>
        <v>0</v>
      </c>
      <c r="I16" s="27"/>
    </row>
    <row r="17" spans="1:9" ht="12" customHeight="1">
      <c r="A17" s="27"/>
      <c r="B17" s="17">
        <v>25</v>
      </c>
      <c r="C17" s="19" t="str">
        <f>IF(ISBLANK('S-Input'!D41)=TRUE," ",'S-Input'!D41)</f>
        <v xml:space="preserve"> </v>
      </c>
      <c r="D17" s="18" t="str">
        <f>'S-Input'!I42</f>
        <v>L2</v>
      </c>
      <c r="E17" s="19" t="str">
        <f>IF(ISBLANK('S-Input'!N41)=TRUE," ",'S-Input'!N41)</f>
        <v>LIGHTS</v>
      </c>
      <c r="F17" s="18">
        <v>26</v>
      </c>
      <c r="G17" s="27"/>
      <c r="H17" s="27">
        <f>'S-Input'!T41</f>
        <v>0</v>
      </c>
      <c r="I17" s="27"/>
    </row>
    <row r="18" spans="1:9" ht="12" customHeight="1">
      <c r="A18" s="27"/>
      <c r="B18" s="17">
        <v>27</v>
      </c>
      <c r="C18" s="19" t="str">
        <f>IF(ISBLANK('S-Input'!D42)=TRUE," ",'S-Input'!D42)</f>
        <v xml:space="preserve"> </v>
      </c>
      <c r="D18" s="18" t="str">
        <f>'S-Input'!I43</f>
        <v>L1</v>
      </c>
      <c r="E18" s="19" t="str">
        <f>IF(ISBLANK('S-Input'!N42)=TRUE," ",'S-Input'!N42)</f>
        <v xml:space="preserve"> </v>
      </c>
      <c r="F18" s="18">
        <v>28</v>
      </c>
      <c r="G18" s="27"/>
      <c r="H18" s="27">
        <f>'S-Input'!T42</f>
        <v>0</v>
      </c>
      <c r="I18" s="27"/>
    </row>
    <row r="19" spans="1:9" ht="12" customHeight="1">
      <c r="A19" s="27"/>
      <c r="B19" s="17">
        <v>29</v>
      </c>
      <c r="C19" s="19" t="str">
        <f>IF(ISBLANK('S-Input'!D43)=TRUE," ",'S-Input'!D43)</f>
        <v xml:space="preserve"> </v>
      </c>
      <c r="D19" s="18" t="str">
        <f>'S-Input'!I44</f>
        <v>L2</v>
      </c>
      <c r="E19" s="19" t="str">
        <f>IF(ISBLANK('S-Input'!N43)=TRUE," ",'S-Input'!N43)</f>
        <v xml:space="preserve"> </v>
      </c>
      <c r="F19" s="18">
        <v>30</v>
      </c>
      <c r="G19" s="27"/>
      <c r="H19" s="27">
        <f>'S-Input'!T43</f>
        <v>0</v>
      </c>
      <c r="I19" s="27"/>
    </row>
    <row r="20" spans="1:9" ht="12" customHeight="1">
      <c r="A20" s="27"/>
      <c r="B20" s="17">
        <v>31</v>
      </c>
      <c r="C20" s="19" t="str">
        <f>IF(ISBLANK('S-Input'!D44)=TRUE," ",'S-Input'!D44)</f>
        <v xml:space="preserve"> </v>
      </c>
      <c r="D20" s="18" t="str">
        <f>'S-Input'!I45</f>
        <v>L1</v>
      </c>
      <c r="E20" s="19" t="str">
        <f>IF(ISBLANK('S-Input'!N44)=TRUE," ",'S-Input'!N44)</f>
        <v xml:space="preserve"> </v>
      </c>
      <c r="F20" s="18">
        <v>32</v>
      </c>
      <c r="G20" s="27"/>
      <c r="H20" s="27">
        <f>'S-Input'!T44</f>
        <v>0</v>
      </c>
      <c r="I20" s="27"/>
    </row>
    <row r="21" spans="1:9" ht="12" customHeight="1">
      <c r="A21" s="27"/>
      <c r="B21" s="17">
        <v>33</v>
      </c>
      <c r="C21" s="19" t="str">
        <f>IF(ISBLANK('S-Input'!D45)=TRUE," ",'S-Input'!D45)</f>
        <v xml:space="preserve"> </v>
      </c>
      <c r="D21" s="18" t="str">
        <f>'S-Input'!I46</f>
        <v>L2</v>
      </c>
      <c r="E21" s="19" t="str">
        <f>IF(ISBLANK('S-Input'!N45)=TRUE," ",'S-Input'!N45)</f>
        <v xml:space="preserve"> </v>
      </c>
      <c r="F21" s="18">
        <v>34</v>
      </c>
      <c r="G21" s="27"/>
      <c r="H21" s="27">
        <f>'S-Input'!T45</f>
        <v>0</v>
      </c>
      <c r="I21" s="27"/>
    </row>
    <row r="22" spans="1:9" ht="12" customHeight="1">
      <c r="A22" s="27"/>
      <c r="B22" s="17">
        <v>35</v>
      </c>
      <c r="C22" s="19" t="str">
        <f>IF(ISBLANK('S-Input'!D46)=TRUE," ",'S-Input'!D46)</f>
        <v xml:space="preserve"> </v>
      </c>
      <c r="D22" s="18" t="str">
        <f>'S-Input'!I47</f>
        <v>L1</v>
      </c>
      <c r="E22" s="19" t="str">
        <f>IF(ISBLANK('S-Input'!N46)=TRUE," ",'S-Input'!N46)</f>
        <v xml:space="preserve"> </v>
      </c>
      <c r="F22" s="18">
        <v>36</v>
      </c>
      <c r="G22" s="27"/>
      <c r="H22" s="27">
        <f>'S-Input'!T46</f>
        <v>0</v>
      </c>
      <c r="I22" s="27"/>
    </row>
    <row r="23" spans="1:9" ht="12" customHeight="1">
      <c r="A23" s="27"/>
      <c r="B23" s="17">
        <v>37</v>
      </c>
      <c r="C23" s="19" t="str">
        <f>IF(ISBLANK('S-Input'!D47)=TRUE," ",'S-Input'!D47)</f>
        <v xml:space="preserve"> </v>
      </c>
      <c r="D23" s="18" t="str">
        <f>'S-Input'!I48</f>
        <v>L2</v>
      </c>
      <c r="E23" s="19" t="str">
        <f>IF(ISBLANK('S-Input'!N47)=TRUE," ",'S-Input'!N47)</f>
        <v xml:space="preserve"> </v>
      </c>
      <c r="F23" s="18">
        <v>38</v>
      </c>
      <c r="G23" s="27"/>
      <c r="H23" s="27">
        <f>'S-Input'!T47</f>
        <v>0</v>
      </c>
      <c r="I23" s="27"/>
    </row>
    <row r="24" spans="1:9" ht="12" customHeight="1">
      <c r="A24" s="27"/>
      <c r="B24" s="17">
        <v>39</v>
      </c>
      <c r="C24" s="19" t="str">
        <f>IF(ISBLANK('S-Input'!D48)=TRUE," ",'S-Input'!D48)</f>
        <v xml:space="preserve"> </v>
      </c>
      <c r="D24" s="18" t="str">
        <f>'S-Input'!I49</f>
        <v>L1</v>
      </c>
      <c r="E24" s="19" t="str">
        <f>IF(ISBLANK('S-Input'!N48)=TRUE," ",'S-Input'!N48)</f>
        <v xml:space="preserve"> </v>
      </c>
      <c r="F24" s="18">
        <v>40</v>
      </c>
      <c r="G24" s="27"/>
      <c r="H24" s="27">
        <f>'S-Input'!T48</f>
        <v>0</v>
      </c>
      <c r="I24" s="27"/>
    </row>
    <row r="25" spans="1:9" ht="12" customHeight="1">
      <c r="A25" s="27"/>
      <c r="B25" s="17">
        <v>41</v>
      </c>
      <c r="C25" s="19" t="str">
        <f>IF(ISBLANK('S-Input'!D49)=TRUE," ",'S-Input'!D49)</f>
        <v xml:space="preserve"> </v>
      </c>
      <c r="D25" s="18" t="str">
        <f>'S-Input'!I50</f>
        <v>L2</v>
      </c>
      <c r="E25" s="19" t="str">
        <f>IF(ISBLANK('S-Input'!N49)=TRUE," ",'S-Input'!N49)</f>
        <v xml:space="preserve"> </v>
      </c>
      <c r="F25" s="18">
        <v>42</v>
      </c>
      <c r="G25" s="27"/>
      <c r="H25" s="27">
        <f>'S-Input'!T49</f>
        <v>0</v>
      </c>
      <c r="I25" s="27"/>
    </row>
    <row r="26" spans="1:9" ht="12" customHeight="1">
      <c r="A26" s="27"/>
      <c r="B26" s="17">
        <f t="shared" ref="B26:B46" si="0">B25+2</f>
        <v>43</v>
      </c>
      <c r="C26" s="19" t="str">
        <f>IF(ISBLANK('S-Input'!D50)=TRUE," ",'S-Input'!D50)</f>
        <v xml:space="preserve"> </v>
      </c>
      <c r="D26" s="18" t="str">
        <f>'S-Input'!I51</f>
        <v>L1</v>
      </c>
      <c r="E26" s="19" t="str">
        <f>IF(ISBLANK('S-Input'!N50)=TRUE," ",'S-Input'!N50)</f>
        <v xml:space="preserve"> </v>
      </c>
      <c r="F26" s="18">
        <f t="shared" ref="F26:F46" si="1">F25+2</f>
        <v>44</v>
      </c>
      <c r="G26" s="27"/>
      <c r="H26" s="27">
        <f>'S-Input'!T50</f>
        <v>0</v>
      </c>
      <c r="I26" s="27"/>
    </row>
    <row r="27" spans="1:9" ht="12" customHeight="1">
      <c r="B27" s="17">
        <f t="shared" si="0"/>
        <v>45</v>
      </c>
      <c r="C27" s="19" t="str">
        <f>IF(ISBLANK('S-Input'!D51)=TRUE," ",'S-Input'!D51)</f>
        <v xml:space="preserve"> </v>
      </c>
      <c r="D27" s="18" t="str">
        <f>'S-Input'!I52</f>
        <v>L2</v>
      </c>
      <c r="E27" s="19" t="str">
        <f>IF(ISBLANK('S-Input'!N51)=TRUE," ",'S-Input'!N51)</f>
        <v xml:space="preserve"> </v>
      </c>
      <c r="F27" s="18">
        <f t="shared" si="1"/>
        <v>46</v>
      </c>
      <c r="H27" s="27">
        <f>'S-Input'!T51</f>
        <v>0</v>
      </c>
    </row>
    <row r="28" spans="1:9" ht="12" customHeight="1">
      <c r="B28" s="17">
        <f t="shared" si="0"/>
        <v>47</v>
      </c>
      <c r="C28" s="19" t="str">
        <f>IF(ISBLANK('S-Input'!D52)=TRUE," ",'S-Input'!D52)</f>
        <v xml:space="preserve"> </v>
      </c>
      <c r="D28" s="18" t="str">
        <f>'S-Input'!I53</f>
        <v>L1</v>
      </c>
      <c r="E28" s="19" t="str">
        <f>IF(ISBLANK('S-Input'!N52)=TRUE," ",'S-Input'!N52)</f>
        <v xml:space="preserve"> </v>
      </c>
      <c r="F28" s="18">
        <f t="shared" si="1"/>
        <v>48</v>
      </c>
      <c r="H28" s="27">
        <f>'S-Input'!T52</f>
        <v>0</v>
      </c>
    </row>
    <row r="29" spans="1:9" ht="12" customHeight="1">
      <c r="B29" s="17">
        <f t="shared" si="0"/>
        <v>49</v>
      </c>
      <c r="C29" s="19" t="str">
        <f>IF(ISBLANK('S-Input'!D53)=TRUE," ",'S-Input'!D53)</f>
        <v xml:space="preserve"> </v>
      </c>
      <c r="D29" s="18" t="str">
        <f>'S-Input'!I54</f>
        <v>L2</v>
      </c>
      <c r="E29" s="19" t="str">
        <f>IF(ISBLANK('S-Input'!N53)=TRUE," ",'S-Input'!N53)</f>
        <v xml:space="preserve"> </v>
      </c>
      <c r="F29" s="18">
        <f t="shared" si="1"/>
        <v>50</v>
      </c>
      <c r="H29" s="27">
        <f>'S-Input'!T53</f>
        <v>0</v>
      </c>
    </row>
    <row r="30" spans="1:9" ht="12" customHeight="1">
      <c r="B30" s="17">
        <f t="shared" si="0"/>
        <v>51</v>
      </c>
      <c r="C30" s="19" t="str">
        <f>IF(ISBLANK('S-Input'!D54)=TRUE," ",'S-Input'!D54)</f>
        <v xml:space="preserve"> </v>
      </c>
      <c r="D30" s="18" t="str">
        <f>'S-Input'!I55</f>
        <v>L1</v>
      </c>
      <c r="E30" s="19" t="str">
        <f>IF(ISBLANK('S-Input'!N54)=TRUE," ",'S-Input'!N54)</f>
        <v xml:space="preserve"> </v>
      </c>
      <c r="F30" s="18">
        <f t="shared" si="1"/>
        <v>52</v>
      </c>
      <c r="H30" s="27">
        <f>'S-Input'!T54</f>
        <v>0</v>
      </c>
    </row>
    <row r="31" spans="1:9" ht="12" customHeight="1">
      <c r="B31" s="17">
        <f t="shared" si="0"/>
        <v>53</v>
      </c>
      <c r="C31" s="19" t="str">
        <f>IF(ISBLANK('S-Input'!D55)=TRUE," ",'S-Input'!D55)</f>
        <v xml:space="preserve"> </v>
      </c>
      <c r="D31" s="18" t="str">
        <f>'S-Input'!I56</f>
        <v>L2</v>
      </c>
      <c r="E31" s="19" t="str">
        <f>IF(ISBLANK('S-Input'!N55)=TRUE," ",'S-Input'!N55)</f>
        <v xml:space="preserve"> </v>
      </c>
      <c r="F31" s="18">
        <f t="shared" si="1"/>
        <v>54</v>
      </c>
      <c r="H31" s="27">
        <f>'S-Input'!T55</f>
        <v>0</v>
      </c>
    </row>
    <row r="32" spans="1:9" ht="12" customHeight="1">
      <c r="B32" s="17">
        <f t="shared" si="0"/>
        <v>55</v>
      </c>
      <c r="C32" s="19" t="str">
        <f>IF(ISBLANK('S-Input'!D56)=TRUE," ",'S-Input'!D56)</f>
        <v xml:space="preserve"> </v>
      </c>
      <c r="D32" s="18" t="str">
        <f>'S-Input'!I57</f>
        <v>L1</v>
      </c>
      <c r="E32" s="19" t="str">
        <f>IF(ISBLANK('S-Input'!N56)=TRUE," ",'S-Input'!N56)</f>
        <v xml:space="preserve"> </v>
      </c>
      <c r="F32" s="18">
        <f t="shared" si="1"/>
        <v>56</v>
      </c>
      <c r="H32" s="27">
        <f>'S-Input'!T56</f>
        <v>0</v>
      </c>
    </row>
    <row r="33" spans="1:9" ht="12" customHeight="1">
      <c r="B33" s="17">
        <f t="shared" si="0"/>
        <v>57</v>
      </c>
      <c r="C33" s="19" t="str">
        <f>IF(ISBLANK('S-Input'!D57)=TRUE," ",'S-Input'!D57)</f>
        <v xml:space="preserve"> </v>
      </c>
      <c r="D33" s="18" t="str">
        <f>'S-Input'!I58</f>
        <v>L2</v>
      </c>
      <c r="E33" s="19" t="str">
        <f>IF(ISBLANK('S-Input'!N57)=TRUE," ",'S-Input'!N57)</f>
        <v xml:space="preserve"> </v>
      </c>
      <c r="F33" s="18">
        <f t="shared" si="1"/>
        <v>58</v>
      </c>
      <c r="H33" s="27">
        <f>'S-Input'!T57</f>
        <v>0</v>
      </c>
    </row>
    <row r="34" spans="1:9" ht="12" customHeight="1">
      <c r="B34" s="17">
        <f t="shared" si="0"/>
        <v>59</v>
      </c>
      <c r="C34" s="19" t="str">
        <f>IF(ISBLANK('S-Input'!D58)=TRUE," ",'S-Input'!D58)</f>
        <v xml:space="preserve"> </v>
      </c>
      <c r="D34" s="18" t="str">
        <f>'S-Input'!I59</f>
        <v>L1</v>
      </c>
      <c r="E34" s="19" t="str">
        <f>IF(ISBLANK('S-Input'!N58)=TRUE," ",'S-Input'!N58)</f>
        <v xml:space="preserve"> </v>
      </c>
      <c r="F34" s="18">
        <f t="shared" si="1"/>
        <v>60</v>
      </c>
      <c r="H34" s="27">
        <f>'S-Input'!T58</f>
        <v>0</v>
      </c>
    </row>
    <row r="35" spans="1:9" ht="12" customHeight="1">
      <c r="B35" s="17">
        <f t="shared" si="0"/>
        <v>61</v>
      </c>
      <c r="C35" s="19" t="str">
        <f>IF(ISBLANK('S-Input'!D59)=TRUE," ",'S-Input'!D59)</f>
        <v xml:space="preserve"> </v>
      </c>
      <c r="D35" s="18" t="str">
        <f>'S-Input'!I60</f>
        <v>L2</v>
      </c>
      <c r="E35" s="19" t="str">
        <f>IF(ISBLANK('S-Input'!N59)=TRUE," ",'S-Input'!N59)</f>
        <v xml:space="preserve"> </v>
      </c>
      <c r="F35" s="18">
        <f t="shared" si="1"/>
        <v>62</v>
      </c>
      <c r="H35" s="27">
        <f>'S-Input'!T59</f>
        <v>0</v>
      </c>
    </row>
    <row r="36" spans="1:9" ht="12" customHeight="1">
      <c r="B36" s="17">
        <f t="shared" si="0"/>
        <v>63</v>
      </c>
      <c r="C36" s="19" t="str">
        <f>IF(ISBLANK('S-Input'!D60)=TRUE," ",'S-Input'!D60)</f>
        <v xml:space="preserve"> </v>
      </c>
      <c r="D36" s="18" t="str">
        <f>'S-Input'!I61</f>
        <v>L1</v>
      </c>
      <c r="E36" s="19" t="str">
        <f>IF(ISBLANK('S-Input'!N60)=TRUE," ",'S-Input'!N60)</f>
        <v xml:space="preserve"> </v>
      </c>
      <c r="F36" s="18">
        <f t="shared" si="1"/>
        <v>64</v>
      </c>
      <c r="H36" s="27">
        <f>'S-Input'!T60</f>
        <v>0</v>
      </c>
    </row>
    <row r="37" spans="1:9" ht="12" customHeight="1">
      <c r="B37" s="17">
        <f t="shared" si="0"/>
        <v>65</v>
      </c>
      <c r="C37" s="19" t="str">
        <f>IF(ISBLANK('S-Input'!D61)=TRUE," ",'S-Input'!D61)</f>
        <v xml:space="preserve"> </v>
      </c>
      <c r="D37" s="18" t="str">
        <f>'S-Input'!I62</f>
        <v>L2</v>
      </c>
      <c r="E37" s="19" t="str">
        <f>IF(ISBLANK('S-Input'!N61)=TRUE," ",'S-Input'!N61)</f>
        <v xml:space="preserve"> </v>
      </c>
      <c r="F37" s="18">
        <f t="shared" si="1"/>
        <v>66</v>
      </c>
      <c r="H37" s="27">
        <f>'S-Input'!T61</f>
        <v>0</v>
      </c>
    </row>
    <row r="38" spans="1:9" ht="12" customHeight="1">
      <c r="B38" s="17">
        <f t="shared" si="0"/>
        <v>67</v>
      </c>
      <c r="C38" s="19" t="str">
        <f>IF(ISBLANK('S-Input'!D62)=TRUE," ",'S-Input'!D62)</f>
        <v xml:space="preserve"> </v>
      </c>
      <c r="D38" s="18" t="str">
        <f>'S-Input'!I63</f>
        <v>L1</v>
      </c>
      <c r="E38" s="19" t="str">
        <f>IF(ISBLANK('S-Input'!N62)=TRUE," ",'S-Input'!N62)</f>
        <v xml:space="preserve"> </v>
      </c>
      <c r="F38" s="18">
        <f t="shared" si="1"/>
        <v>68</v>
      </c>
      <c r="H38" s="27">
        <f>'S-Input'!T62</f>
        <v>0</v>
      </c>
    </row>
    <row r="39" spans="1:9" ht="12" customHeight="1">
      <c r="B39" s="17">
        <f t="shared" si="0"/>
        <v>69</v>
      </c>
      <c r="C39" s="19" t="str">
        <f>IF(ISBLANK('S-Input'!D63)=TRUE," ",'S-Input'!D63)</f>
        <v xml:space="preserve"> </v>
      </c>
      <c r="D39" s="18" t="str">
        <f>'S-Input'!I64</f>
        <v>L2</v>
      </c>
      <c r="E39" s="19" t="str">
        <f>IF(ISBLANK('S-Input'!N63)=TRUE," ",'S-Input'!N63)</f>
        <v xml:space="preserve"> </v>
      </c>
      <c r="F39" s="18">
        <f t="shared" si="1"/>
        <v>70</v>
      </c>
      <c r="H39" s="27">
        <f>'S-Input'!T63</f>
        <v>0</v>
      </c>
    </row>
    <row r="40" spans="1:9" ht="12" customHeight="1">
      <c r="A40" s="22"/>
      <c r="B40" s="17">
        <f t="shared" si="0"/>
        <v>71</v>
      </c>
      <c r="C40" s="19" t="str">
        <f>IF(ISBLANK('S-Input'!D64)=TRUE," ",'S-Input'!D64)</f>
        <v xml:space="preserve"> </v>
      </c>
      <c r="D40" s="18" t="str">
        <f>'S-Input'!I65</f>
        <v>L1</v>
      </c>
      <c r="E40" s="19" t="str">
        <f>IF(ISBLANK('S-Input'!N64)=TRUE," ",'S-Input'!N64)</f>
        <v xml:space="preserve"> </v>
      </c>
      <c r="F40" s="18">
        <f t="shared" si="1"/>
        <v>72</v>
      </c>
      <c r="G40" s="22"/>
      <c r="H40" s="27">
        <f>'S-Input'!T64</f>
        <v>0</v>
      </c>
      <c r="I40" s="22"/>
    </row>
    <row r="41" spans="1:9" s="22" customFormat="1" ht="12" customHeight="1">
      <c r="B41" s="17">
        <f t="shared" si="0"/>
        <v>73</v>
      </c>
      <c r="C41" s="19" t="str">
        <f>IF(ISBLANK('S-Input'!D65)=TRUE," ",'S-Input'!D65)</f>
        <v xml:space="preserve"> </v>
      </c>
      <c r="D41" s="18" t="str">
        <f>'S-Input'!I66</f>
        <v>L2</v>
      </c>
      <c r="E41" s="19" t="str">
        <f>IF(ISBLANK('S-Input'!N65)=TRUE," ",'S-Input'!N65)</f>
        <v xml:space="preserve"> </v>
      </c>
      <c r="F41" s="18">
        <f t="shared" si="1"/>
        <v>74</v>
      </c>
      <c r="H41" s="27">
        <f>'S-Input'!T65</f>
        <v>0</v>
      </c>
    </row>
    <row r="42" spans="1:9" s="22" customFormat="1" ht="12" customHeight="1">
      <c r="A42" s="1"/>
      <c r="B42" s="17">
        <f t="shared" si="0"/>
        <v>75</v>
      </c>
      <c r="C42" s="19" t="str">
        <f>IF(ISBLANK('S-Input'!D66)=TRUE," ",'S-Input'!D66)</f>
        <v xml:space="preserve"> </v>
      </c>
      <c r="D42" s="18" t="str">
        <f>'S-Input'!I67</f>
        <v>L1</v>
      </c>
      <c r="E42" s="19" t="str">
        <f>IF(ISBLANK('S-Input'!N66)=TRUE," ",'S-Input'!N66)</f>
        <v xml:space="preserve"> </v>
      </c>
      <c r="F42" s="18">
        <f t="shared" si="1"/>
        <v>76</v>
      </c>
      <c r="G42" s="1"/>
      <c r="H42" s="27">
        <f>'S-Input'!T66</f>
        <v>0</v>
      </c>
      <c r="I42" s="1"/>
    </row>
    <row r="43" spans="1:9" ht="12" customHeight="1">
      <c r="B43" s="17">
        <f t="shared" si="0"/>
        <v>77</v>
      </c>
      <c r="C43" s="19" t="str">
        <f>IF(ISBLANK('S-Input'!D67)=TRUE," ",'S-Input'!D67)</f>
        <v xml:space="preserve"> </v>
      </c>
      <c r="D43" s="18" t="str">
        <f>'S-Input'!I68</f>
        <v>L2</v>
      </c>
      <c r="E43" s="19" t="str">
        <f>IF(ISBLANK('S-Input'!N67)=TRUE," ",'S-Input'!N67)</f>
        <v xml:space="preserve"> </v>
      </c>
      <c r="F43" s="18">
        <f t="shared" si="1"/>
        <v>78</v>
      </c>
      <c r="H43" s="27">
        <f>'S-Input'!T67</f>
        <v>0</v>
      </c>
    </row>
    <row r="44" spans="1:9" ht="12" customHeight="1">
      <c r="B44" s="17">
        <f t="shared" si="0"/>
        <v>79</v>
      </c>
      <c r="C44" s="19" t="str">
        <f>IF(ISBLANK('S-Input'!D68)=TRUE," ",'S-Input'!D68)</f>
        <v xml:space="preserve"> </v>
      </c>
      <c r="D44" s="18" t="str">
        <f>'S-Input'!I69</f>
        <v>L1</v>
      </c>
      <c r="E44" s="19" t="str">
        <f>IF(ISBLANK('S-Input'!N68)=TRUE," ",'S-Input'!N68)</f>
        <v xml:space="preserve"> </v>
      </c>
      <c r="F44" s="18">
        <f t="shared" si="1"/>
        <v>80</v>
      </c>
      <c r="H44" s="27">
        <f>'S-Input'!T68</f>
        <v>0</v>
      </c>
    </row>
    <row r="45" spans="1:9" ht="12" customHeight="1">
      <c r="B45" s="17">
        <f t="shared" si="0"/>
        <v>81</v>
      </c>
      <c r="C45" s="19" t="str">
        <f>IF(ISBLANK('S-Input'!D69)=TRUE," ",'S-Input'!D69)</f>
        <v xml:space="preserve"> </v>
      </c>
      <c r="D45" s="18" t="str">
        <f>'S-Input'!I70</f>
        <v>L2</v>
      </c>
      <c r="E45" s="19" t="str">
        <f>IF(ISBLANK('S-Input'!N69)=TRUE," ",'S-Input'!N69)</f>
        <v xml:space="preserve"> </v>
      </c>
      <c r="F45" s="18">
        <f t="shared" si="1"/>
        <v>82</v>
      </c>
      <c r="H45" s="27">
        <f>'S-Input'!T69</f>
        <v>0</v>
      </c>
    </row>
    <row r="46" spans="1:9" ht="12" customHeight="1">
      <c r="B46" s="17">
        <f t="shared" si="0"/>
        <v>83</v>
      </c>
      <c r="C46" s="19" t="str">
        <f>IF(ISBLANK('S-Input'!D70)=TRUE," ",'S-Input'!D70)</f>
        <v xml:space="preserve"> </v>
      </c>
      <c r="D46" s="18">
        <f>'S-Input'!I71</f>
        <v>0</v>
      </c>
      <c r="E46" s="19" t="str">
        <f>IF(ISBLANK('S-Input'!N70)=TRUE," ",'S-Input'!N70)</f>
        <v xml:space="preserve"> </v>
      </c>
      <c r="F46" s="18">
        <f t="shared" si="1"/>
        <v>84</v>
      </c>
      <c r="H46" s="27">
        <f>'S-Input'!T70</f>
        <v>0</v>
      </c>
    </row>
    <row r="47" spans="1:9" ht="12" customHeight="1"/>
    <row r="48" spans="1:9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</sheetData>
  <sheetProtection password="DC0A" sheet="1" objects="1" scenarios="1"/>
  <phoneticPr fontId="0" type="noConversion"/>
  <conditionalFormatting sqref="A1:A46 B4 B1:B2 C1:F4">
    <cfRule type="expression" dxfId="5" priority="1" stopIfTrue="1">
      <formula>IF($H$3&gt;0,TRUE,FALSE)</formula>
    </cfRule>
  </conditionalFormatting>
  <conditionalFormatting sqref="B3">
    <cfRule type="expression" dxfId="4" priority="2" stopIfTrue="1">
      <formula>IF($H$3&gt;0,TRUE,FALSE)</formula>
    </cfRule>
  </conditionalFormatting>
  <conditionalFormatting sqref="B5:F46">
    <cfRule type="expression" dxfId="3" priority="3" stopIfTrue="1">
      <formula>IF($H$3&gt;0,TRUE,FALSE)</formula>
    </cfRule>
    <cfRule type="expression" dxfId="2" priority="4" stopIfTrue="1">
      <formula>IF($H5=0,TRUE,FALSE)</formula>
    </cfRule>
  </conditionalFormatting>
  <pageMargins left="0.5" right="0" top="0.5" bottom="0" header="0" footer="0"/>
  <pageSetup scale="90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B1:C33"/>
  <sheetViews>
    <sheetView showGridLines="0" showRowColHeaders="0" showOutlineSymbols="0" workbookViewId="0"/>
  </sheetViews>
  <sheetFormatPr defaultColWidth="0" defaultRowHeight="12.75" zeroHeight="1"/>
  <cols>
    <col min="1" max="1" width="3.6640625" style="116" customWidth="1"/>
    <col min="2" max="11" width="10.6640625" style="116" customWidth="1"/>
    <col min="12" max="16384" width="0" style="116" hidden="1"/>
  </cols>
  <sheetData>
    <row r="1" spans="2:2"/>
    <row r="2" spans="2:2">
      <c r="B2" s="117" t="s">
        <v>217</v>
      </c>
    </row>
    <row r="3" spans="2:2"/>
    <row r="4" spans="2:2">
      <c r="B4" s="118" t="s">
        <v>218</v>
      </c>
    </row>
    <row r="5" spans="2:2">
      <c r="B5" s="116" t="s">
        <v>219</v>
      </c>
    </row>
    <row r="6" spans="2:2">
      <c r="B6" s="116" t="s">
        <v>220</v>
      </c>
    </row>
    <row r="7" spans="2:2">
      <c r="B7" s="116" t="s">
        <v>221</v>
      </c>
    </row>
    <row r="8" spans="2:2"/>
    <row r="9" spans="2:2">
      <c r="B9" s="117" t="s">
        <v>222</v>
      </c>
    </row>
    <row r="10" spans="2:2"/>
    <row r="11" spans="2:2">
      <c r="B11" s="116" t="s">
        <v>223</v>
      </c>
    </row>
    <row r="12" spans="2:2">
      <c r="B12" s="116" t="s">
        <v>224</v>
      </c>
    </row>
    <row r="13" spans="2:2"/>
    <row r="14" spans="2:2"/>
    <row r="15" spans="2:2"/>
    <row r="16" spans="2:2"/>
    <row r="17" spans="3:3"/>
    <row r="18" spans="3:3"/>
    <row r="19" spans="3:3"/>
    <row r="20" spans="3:3">
      <c r="C20" s="116" t="s">
        <v>225</v>
      </c>
    </row>
    <row r="21" spans="3:3"/>
    <row r="22" spans="3:3"/>
    <row r="23" spans="3:3"/>
    <row r="24" spans="3:3"/>
    <row r="25" spans="3:3"/>
    <row r="26" spans="3:3"/>
    <row r="27" spans="3:3"/>
    <row r="28" spans="3:3"/>
    <row r="29" spans="3:3"/>
    <row r="30" spans="3:3">
      <c r="C30" s="116" t="s">
        <v>226</v>
      </c>
    </row>
    <row r="31" spans="3:3"/>
    <row r="32" spans="3:3"/>
    <row r="33"/>
  </sheetData>
  <sheetProtection password="DC0A" sheet="1" objects="1" scenarios="1"/>
  <phoneticPr fontId="0" type="noConversion"/>
  <pageMargins left="0.75" right="0.75" top="1" bottom="1" header="0.5" footer="0.5"/>
  <pageSetup orientation="portrait" r:id="rId1"/>
  <headerFooter alignWithMargins="0"/>
  <legacyDrawing r:id="rId2"/>
  <oleObjects>
    <oleObject progId="Paint.Picture" shapeId="1025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B1:L100"/>
  <sheetViews>
    <sheetView showGridLines="0" showRowColHeaders="0" showOutlineSymbols="0" workbookViewId="0">
      <selection activeCell="J27" sqref="J27"/>
    </sheetView>
  </sheetViews>
  <sheetFormatPr defaultColWidth="0" defaultRowHeight="12.75" zeroHeight="1"/>
  <cols>
    <col min="1" max="1" width="3.6640625" style="116" customWidth="1"/>
    <col min="2" max="10" width="10.6640625" style="116" customWidth="1"/>
    <col min="11" max="11" width="18.33203125" style="116" customWidth="1"/>
    <col min="12" max="16384" width="0" style="116" hidden="1"/>
  </cols>
  <sheetData>
    <row r="1" spans="2:12"/>
    <row r="2" spans="2:12">
      <c r="B2" s="117" t="s">
        <v>794</v>
      </c>
    </row>
    <row r="3" spans="2:12"/>
    <row r="4" spans="2:12">
      <c r="B4" s="117" t="s">
        <v>795</v>
      </c>
    </row>
    <row r="5" spans="2:12">
      <c r="B5" s="116" t="s">
        <v>796</v>
      </c>
    </row>
    <row r="6" spans="2:12"/>
    <row r="7" spans="2:12">
      <c r="B7" s="461"/>
      <c r="C7" s="461"/>
      <c r="D7" s="458"/>
      <c r="E7" s="453"/>
      <c r="F7" s="454"/>
      <c r="G7" s="453"/>
      <c r="H7" s="453"/>
      <c r="I7" s="453"/>
      <c r="J7" s="453"/>
      <c r="K7" s="453"/>
      <c r="L7" s="453"/>
    </row>
    <row r="8" spans="2:12">
      <c r="B8" s="461"/>
      <c r="C8" s="451"/>
      <c r="D8" s="462"/>
      <c r="E8" s="456"/>
      <c r="F8" s="463"/>
      <c r="G8" s="456"/>
      <c r="H8" s="456"/>
      <c r="I8" s="455"/>
      <c r="J8" s="456"/>
      <c r="K8" s="456"/>
      <c r="L8" s="245" t="str">
        <f>IF(AND(U9=1,U18="3D"),"VA",IF(U9=1," ","VA"))</f>
        <v>VA</v>
      </c>
    </row>
    <row r="9" spans="2:12">
      <c r="B9" s="461"/>
      <c r="C9" s="451"/>
      <c r="D9" s="462"/>
      <c r="E9" s="456"/>
      <c r="F9" s="463"/>
      <c r="G9" s="456"/>
      <c r="H9" s="456"/>
      <c r="I9" s="455"/>
      <c r="J9" s="456"/>
      <c r="K9" s="456"/>
      <c r="L9" s="245"/>
    </row>
    <row r="10" spans="2:12">
      <c r="B10" s="461"/>
      <c r="C10" s="451"/>
      <c r="D10" s="462"/>
      <c r="E10" s="456"/>
      <c r="F10" s="463"/>
      <c r="G10" s="456"/>
      <c r="H10" s="456"/>
      <c r="I10" s="455"/>
      <c r="J10" s="456"/>
      <c r="K10" s="456"/>
      <c r="L10" s="245"/>
    </row>
    <row r="11" spans="2:12">
      <c r="B11" s="461"/>
      <c r="C11" s="451"/>
      <c r="D11" s="462"/>
      <c r="E11" s="456"/>
      <c r="F11" s="455"/>
      <c r="G11" s="456"/>
      <c r="H11" s="456"/>
      <c r="I11" s="455"/>
      <c r="J11" s="456"/>
      <c r="K11" s="456"/>
      <c r="L11" s="245" t="str">
        <f>IF(AND(U9=1,U18="3D"),"VA",IF(U9=1," ","VA"))</f>
        <v>VA</v>
      </c>
    </row>
    <row r="12" spans="2:12">
      <c r="B12" s="461"/>
      <c r="C12" s="451"/>
      <c r="D12" s="462"/>
      <c r="E12" s="456"/>
      <c r="F12" s="463"/>
      <c r="G12" s="456"/>
      <c r="H12" s="456"/>
      <c r="I12" s="455"/>
      <c r="J12" s="456"/>
      <c r="K12" s="456"/>
      <c r="L12" s="245"/>
    </row>
    <row r="13" spans="2:12">
      <c r="B13" s="461"/>
      <c r="C13" s="451"/>
      <c r="D13" s="462"/>
      <c r="E13" s="456"/>
      <c r="F13" s="455"/>
      <c r="G13" s="456"/>
      <c r="H13" s="456"/>
      <c r="I13" s="455"/>
      <c r="J13" s="456"/>
      <c r="K13" s="456"/>
      <c r="L13" s="245" t="str">
        <f>IF(AND(U9=1,U18="3D"),"VA",IF(U9=1," ","VA"))</f>
        <v>VA</v>
      </c>
    </row>
    <row r="14" spans="2:12">
      <c r="B14" s="461"/>
      <c r="C14" s="451"/>
      <c r="D14" s="462"/>
      <c r="E14" s="456"/>
      <c r="F14" s="463"/>
      <c r="G14" s="456"/>
      <c r="H14" s="456"/>
      <c r="I14" s="463"/>
      <c r="J14" s="456"/>
      <c r="K14" s="456"/>
      <c r="L14" s="463" t="str">
        <f>IF(K14=" "," ",IF(AND(U9=1,U18="3D"),"VA",IF(U9=1," ","VA")))</f>
        <v>VA</v>
      </c>
    </row>
    <row r="15" spans="2:12">
      <c r="B15" s="461"/>
      <c r="C15" s="451"/>
      <c r="D15" s="462"/>
      <c r="E15" s="456"/>
      <c r="F15" s="463"/>
      <c r="G15" s="456"/>
      <c r="H15" s="456"/>
      <c r="I15" s="455"/>
      <c r="J15" s="456"/>
      <c r="K15" s="456"/>
      <c r="L15" s="245" t="str">
        <f>IF(AND(U9=1,U18="3D"),"VA",IF(U9=1," ","VA"))</f>
        <v>VA</v>
      </c>
    </row>
    <row r="16" spans="2:12">
      <c r="B16" s="461"/>
      <c r="C16" s="451"/>
      <c r="D16" s="462"/>
      <c r="E16" s="456"/>
      <c r="F16" s="463"/>
      <c r="G16" s="456"/>
      <c r="H16" s="456"/>
      <c r="I16" s="463"/>
      <c r="J16" s="456"/>
      <c r="K16" s="456"/>
      <c r="L16" s="245" t="str">
        <f>IF(AND(U9=1,U18="3D"),"VA",IF(U9=1," ","VA"))</f>
        <v>VA</v>
      </c>
    </row>
    <row r="17" spans="2:12">
      <c r="B17" s="461"/>
      <c r="C17" s="451"/>
      <c r="D17" s="462"/>
      <c r="E17" s="456"/>
      <c r="F17" s="463"/>
      <c r="G17" s="456"/>
      <c r="H17" s="456"/>
      <c r="I17" s="463"/>
      <c r="J17" s="456"/>
      <c r="K17" s="456"/>
      <c r="L17" s="245" t="str">
        <f>IF(AND(U9=1,U18="3D"),"VA",IF(U9=1," ","VA"))</f>
        <v>VA</v>
      </c>
    </row>
    <row r="18" spans="2:12">
      <c r="B18" s="461"/>
      <c r="C18" s="451"/>
      <c r="D18" s="462"/>
      <c r="E18" s="456"/>
      <c r="F18" s="463"/>
      <c r="G18" s="456"/>
      <c r="H18" s="456"/>
      <c r="I18" s="463"/>
      <c r="J18" s="456"/>
      <c r="K18" s="456"/>
      <c r="L18" s="245" t="str">
        <f>IF(AND(U9=1,U18="3D"),"VA",IF(U9=1," ","VA"))</f>
        <v>VA</v>
      </c>
    </row>
    <row r="19" spans="2:12"/>
    <row r="20" spans="2:12"/>
    <row r="21" spans="2:12"/>
    <row r="22" spans="2:12"/>
    <row r="23" spans="2:12">
      <c r="B23" s="117" t="s">
        <v>797</v>
      </c>
    </row>
    <row r="24" spans="2:12">
      <c r="B24" s="116" t="s">
        <v>798</v>
      </c>
    </row>
    <row r="25" spans="2:12"/>
    <row r="26" spans="2:12">
      <c r="B26" s="117" t="s">
        <v>799</v>
      </c>
    </row>
    <row r="27" spans="2:12">
      <c r="B27" s="116" t="s">
        <v>800</v>
      </c>
    </row>
    <row r="28" spans="2:12"/>
    <row r="29" spans="2:12"/>
    <row r="30" spans="2:12"/>
    <row r="31" spans="2:12"/>
    <row r="32" spans="2:12" ht="11.25" customHeight="1"/>
    <row r="33" spans="2:5" ht="11.25" customHeight="1">
      <c r="E33" s="118"/>
    </row>
    <row r="34" spans="2:5" ht="11.25" customHeight="1">
      <c r="E34" s="118" t="s">
        <v>801</v>
      </c>
    </row>
    <row r="35" spans="2:5" ht="11.25" customHeight="1"/>
    <row r="36" spans="2:5" ht="11.25" customHeight="1"/>
    <row r="37" spans="2:5" ht="11.25" customHeight="1"/>
    <row r="38" spans="2:5" ht="11.25" customHeight="1"/>
    <row r="39" spans="2:5" ht="11.25" customHeight="1"/>
    <row r="40" spans="2:5" ht="11.25" customHeight="1"/>
    <row r="41" spans="2:5" ht="11.25" customHeight="1"/>
    <row r="42" spans="2:5" ht="11.25" customHeight="1">
      <c r="B42" s="117" t="s">
        <v>802</v>
      </c>
    </row>
    <row r="43" spans="2:5" ht="11.25" customHeight="1">
      <c r="B43" s="116" t="s">
        <v>803</v>
      </c>
    </row>
    <row r="44" spans="2:5" ht="11.25" customHeight="1"/>
    <row r="45" spans="2:5" ht="11.25" customHeight="1"/>
    <row r="46" spans="2:5" ht="11.25" customHeight="1"/>
    <row r="47" spans="2:5" ht="11.25" customHeight="1"/>
    <row r="48" spans="2:5" ht="11.25" customHeight="1"/>
    <row r="49" spans="2:3" ht="11.25" customHeight="1"/>
    <row r="50" spans="2:3" ht="11.25" customHeight="1">
      <c r="C50" s="559" t="s">
        <v>804</v>
      </c>
    </row>
    <row r="51" spans="2:3" ht="11.25" customHeight="1">
      <c r="C51" s="559" t="s">
        <v>805</v>
      </c>
    </row>
    <row r="52" spans="2:3" ht="11.25" customHeight="1">
      <c r="C52" s="559" t="s">
        <v>806</v>
      </c>
    </row>
    <row r="53" spans="2:3" ht="11.25" customHeight="1"/>
    <row r="54" spans="2:3" ht="11.25" customHeight="1"/>
    <row r="55" spans="2:3" ht="11.25" customHeight="1"/>
    <row r="56" spans="2:3" ht="11.25" customHeight="1"/>
    <row r="57" spans="2:3" ht="11.25" customHeight="1"/>
    <row r="58" spans="2:3" ht="11.25" customHeight="1"/>
    <row r="59" spans="2:3" ht="11.25" customHeight="1"/>
    <row r="60" spans="2:3" ht="11.25" customHeight="1">
      <c r="B60" s="117" t="s">
        <v>807</v>
      </c>
    </row>
    <row r="61" spans="2:3" ht="11.25" customHeight="1">
      <c r="B61" s="116" t="s">
        <v>808</v>
      </c>
    </row>
    <row r="62" spans="2:3" ht="11.25" customHeight="1"/>
    <row r="63" spans="2:3" ht="11.25" customHeight="1"/>
    <row r="64" spans="2:3" ht="11.25" customHeight="1">
      <c r="B64" s="117" t="s">
        <v>809</v>
      </c>
    </row>
    <row r="65" ht="11.25" customHeight="1"/>
    <row r="66" ht="11.25" customHeight="1"/>
    <row r="67" ht="11.25" customHeight="1"/>
    <row r="68" ht="11.25" customHeight="1"/>
    <row r="69" ht="11.25" hidden="1" customHeight="1"/>
    <row r="70" ht="11.25" hidden="1" customHeight="1"/>
    <row r="71" ht="11.25" hidden="1" customHeight="1"/>
    <row r="72" ht="11.25" hidden="1" customHeight="1"/>
    <row r="73" ht="11.25" hidden="1" customHeight="1"/>
    <row r="74" ht="11.25" hidden="1" customHeight="1"/>
    <row r="75" ht="11.25" hidden="1" customHeight="1"/>
    <row r="76" ht="11.25" hidden="1" customHeight="1"/>
    <row r="77" ht="11.25" hidden="1" customHeight="1"/>
    <row r="78" ht="11.25" hidden="1" customHeight="1"/>
    <row r="79" ht="11.25" hidden="1" customHeight="1"/>
    <row r="80" ht="11.25" hidden="1" customHeight="1"/>
    <row r="81" ht="11.25" hidden="1" customHeight="1"/>
    <row r="82" ht="11.25" hidden="1" customHeight="1"/>
    <row r="83" ht="11.25" hidden="1" customHeight="1"/>
    <row r="84" ht="11.25" hidden="1" customHeight="1"/>
    <row r="85" ht="11.25" hidden="1" customHeight="1"/>
    <row r="86" ht="11.25" hidden="1" customHeight="1"/>
    <row r="87" ht="11.25" hidden="1" customHeight="1"/>
    <row r="88" ht="11.25" hidden="1" customHeight="1"/>
    <row r="89" ht="11.25" hidden="1" customHeight="1"/>
    <row r="90" ht="11.25" hidden="1" customHeight="1"/>
    <row r="91" ht="11.25" hidden="1" customHeight="1"/>
    <row r="92" ht="11.25" hidden="1" customHeight="1"/>
    <row r="93" ht="11.25" hidden="1" customHeight="1"/>
    <row r="94" ht="11.25" hidden="1" customHeight="1"/>
    <row r="95" ht="11.25" hidden="1" customHeight="1"/>
    <row r="96" ht="11.25" hidden="1" customHeight="1"/>
    <row r="97" ht="11.25" hidden="1" customHeight="1"/>
    <row r="98" ht="11.25" hidden="1" customHeight="1"/>
    <row r="99" hidden="1"/>
    <row r="100" hidden="1"/>
  </sheetData>
  <sheetProtection password="DC0A" sheet="1" objects="1" scenarios="1"/>
  <phoneticPr fontId="6" type="noConversion"/>
  <conditionalFormatting sqref="C7:C8 C10:C18 B7:B18 D7:L18">
    <cfRule type="expression" dxfId="1" priority="1" stopIfTrue="1">
      <formula>IF($T$5&gt;0,TRUE,FALSE)</formula>
    </cfRule>
  </conditionalFormatting>
  <conditionalFormatting sqref="C9">
    <cfRule type="expression" dxfId="0" priority="2" stopIfTrue="1">
      <formula>IF($T$5&gt;0,TRUE,FALSE)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oleObjects>
    <oleObject progId="Paint.Picture" shapeId="5121" r:id="rId4"/>
    <oleObject progId="Paint.Picture" shapeId="5122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K202"/>
  <sheetViews>
    <sheetView topLeftCell="B1" workbookViewId="0">
      <selection activeCell="C27" sqref="C27"/>
    </sheetView>
  </sheetViews>
  <sheetFormatPr defaultRowHeight="11.25"/>
  <cols>
    <col min="1" max="1" width="19.1640625" style="229" customWidth="1"/>
    <col min="2" max="2" width="9.33203125" style="230"/>
    <col min="3" max="3" width="9.33203125" style="229"/>
    <col min="4" max="4" width="19.6640625" style="229" customWidth="1"/>
    <col min="5" max="5" width="18.1640625" style="229" customWidth="1"/>
    <col min="6" max="6" width="15.83203125" style="229" customWidth="1"/>
    <col min="7" max="7" width="16" style="229" customWidth="1"/>
    <col min="8" max="9" width="16" style="230" customWidth="1"/>
    <col min="10" max="10" width="10.83203125" style="230" customWidth="1"/>
    <col min="11" max="11" width="7.33203125" style="230" customWidth="1"/>
    <col min="12" max="12" width="11.6640625" style="230" customWidth="1"/>
    <col min="13" max="13" width="16" style="229" customWidth="1"/>
    <col min="14" max="15" width="9.33203125" style="229"/>
    <col min="16" max="16" width="12.83203125" style="229" customWidth="1"/>
    <col min="17" max="17" width="9.33203125" style="229"/>
    <col min="18" max="19" width="3.83203125" style="229" customWidth="1"/>
    <col min="20" max="20" width="7.5" style="229" customWidth="1"/>
    <col min="21" max="21" width="7.83203125" style="229" customWidth="1"/>
    <col min="22" max="22" width="19.5" style="229" customWidth="1"/>
    <col min="23" max="24" width="18" style="229" customWidth="1"/>
    <col min="25" max="25" width="8.1640625" style="229" customWidth="1"/>
    <col min="26" max="26" width="8.5" style="229" customWidth="1"/>
    <col min="27" max="27" width="8.33203125" style="229" customWidth="1"/>
    <col min="28" max="29" width="11.6640625" style="229" customWidth="1"/>
    <col min="30" max="30" width="6.83203125" style="229" customWidth="1"/>
    <col min="31" max="16384" width="9.33203125" style="229"/>
  </cols>
  <sheetData>
    <row r="1" spans="1:35" s="166" customFormat="1">
      <c r="A1" s="229"/>
      <c r="B1" s="230"/>
      <c r="H1" s="167"/>
      <c r="I1" s="167"/>
      <c r="J1" s="167"/>
      <c r="K1" s="167"/>
      <c r="L1" s="16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35" s="166" customFormat="1">
      <c r="A2" s="229"/>
      <c r="B2" s="230"/>
      <c r="H2" s="167"/>
      <c r="I2" s="167"/>
      <c r="J2" s="167"/>
      <c r="K2" s="167"/>
      <c r="L2" s="16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35" s="166" customFormat="1">
      <c r="A3" s="229"/>
      <c r="B3" s="230"/>
      <c r="H3" s="167"/>
      <c r="I3" s="167"/>
      <c r="J3" s="167"/>
      <c r="K3" s="167"/>
      <c r="L3" s="167"/>
    </row>
    <row r="4" spans="1:35">
      <c r="C4" s="166"/>
      <c r="D4" s="166"/>
      <c r="E4" s="166"/>
      <c r="F4" s="166"/>
      <c r="G4" s="166"/>
      <c r="H4" s="167" t="s">
        <v>886</v>
      </c>
      <c r="I4" s="167" t="s">
        <v>68</v>
      </c>
      <c r="J4" s="167" t="s">
        <v>68</v>
      </c>
      <c r="K4" s="167" t="s">
        <v>34</v>
      </c>
      <c r="L4" s="167" t="s">
        <v>193</v>
      </c>
      <c r="M4" s="166"/>
      <c r="N4" s="166"/>
      <c r="S4" s="166" t="s">
        <v>954</v>
      </c>
      <c r="T4" s="166"/>
      <c r="U4" s="166"/>
      <c r="V4" s="166"/>
      <c r="W4" s="166"/>
      <c r="X4" s="166"/>
      <c r="Y4" s="166"/>
      <c r="Z4" s="166"/>
      <c r="AA4" s="166"/>
      <c r="AB4" s="166"/>
      <c r="AC4" s="166"/>
      <c r="AF4" s="166"/>
    </row>
    <row r="5" spans="1:35">
      <c r="C5" s="166"/>
      <c r="D5" s="166"/>
      <c r="E5" s="166"/>
      <c r="F5" s="166"/>
      <c r="G5" s="166"/>
      <c r="H5" s="167" t="s">
        <v>887</v>
      </c>
      <c r="I5" s="167" t="s">
        <v>179</v>
      </c>
      <c r="J5" s="167" t="s">
        <v>38</v>
      </c>
      <c r="K5" s="167" t="s">
        <v>38</v>
      </c>
      <c r="L5" s="167" t="s">
        <v>48</v>
      </c>
      <c r="M5" s="166"/>
      <c r="N5" s="166"/>
      <c r="S5" s="634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4"/>
      <c r="AF5" s="24" t="s">
        <v>72</v>
      </c>
      <c r="AG5" s="1"/>
      <c r="AH5" s="1"/>
      <c r="AI5" s="1"/>
    </row>
    <row r="6" spans="1:35">
      <c r="A6" s="166" t="s">
        <v>48</v>
      </c>
      <c r="B6" s="649">
        <f>Input!CY9</f>
        <v>57.9</v>
      </c>
      <c r="C6" s="166">
        <f>IF(AND(B8=3,B9="AL",B10="SER"),1,0)</f>
        <v>0</v>
      </c>
      <c r="D6" s="166" t="s">
        <v>957</v>
      </c>
      <c r="E6" s="166" t="str">
        <f>AA21</f>
        <v xml:space="preserve"> SER CABLE</v>
      </c>
      <c r="F6" s="166" t="str">
        <f>AA22</f>
        <v xml:space="preserve"> 3-#4 AL  </v>
      </c>
      <c r="G6" s="166" t="str">
        <f>AA23</f>
        <v xml:space="preserve"> 1-#6 GND</v>
      </c>
      <c r="H6" s="167">
        <f>AB19</f>
        <v>2353</v>
      </c>
      <c r="I6" s="167">
        <f>AC19</f>
        <v>0.50800000000000001</v>
      </c>
      <c r="J6" s="167" t="str">
        <f>W19</f>
        <v>#4</v>
      </c>
      <c r="K6" s="167" t="str">
        <f>X19</f>
        <v>#6</v>
      </c>
      <c r="L6" s="167">
        <f>Y19</f>
        <v>65</v>
      </c>
      <c r="M6" s="166" t="str">
        <f>V19</f>
        <v>4-4-4-6</v>
      </c>
      <c r="N6" s="166"/>
      <c r="P6" s="229" t="s">
        <v>48</v>
      </c>
      <c r="Q6" s="229">
        <f>B6</f>
        <v>57.9</v>
      </c>
      <c r="S6" s="170"/>
      <c r="T6" s="629" t="s">
        <v>875</v>
      </c>
      <c r="U6" s="629" t="s">
        <v>30</v>
      </c>
      <c r="V6" s="58" t="s">
        <v>68</v>
      </c>
      <c r="W6" s="58" t="s">
        <v>68</v>
      </c>
      <c r="X6" s="58" t="s">
        <v>34</v>
      </c>
      <c r="Y6" s="639" t="str">
        <f>IF($Q$7=60,AG6,IF($Q$7=75,AH6,IF($Q$7=90,AI6)))</f>
        <v>75 C</v>
      </c>
      <c r="Z6" s="58" t="s">
        <v>68</v>
      </c>
      <c r="AA6" s="629" t="s">
        <v>875</v>
      </c>
      <c r="AB6" s="58" t="s">
        <v>886</v>
      </c>
      <c r="AC6" s="58" t="s">
        <v>179</v>
      </c>
      <c r="AD6" s="169"/>
      <c r="AF6" s="58" t="s">
        <v>68</v>
      </c>
      <c r="AG6" s="58" t="s">
        <v>69</v>
      </c>
      <c r="AH6" s="58" t="s">
        <v>70</v>
      </c>
      <c r="AI6" s="58" t="s">
        <v>71</v>
      </c>
    </row>
    <row r="7" spans="1:35">
      <c r="A7" s="166" t="s">
        <v>18</v>
      </c>
      <c r="B7" s="649">
        <f>Input!H15</f>
        <v>75</v>
      </c>
      <c r="C7" s="229">
        <f>IF(AND(B8=3,B9="CU",B10="SER"),1,0)</f>
        <v>0</v>
      </c>
      <c r="D7" s="166" t="s">
        <v>958</v>
      </c>
      <c r="E7" s="229" t="str">
        <f>AA45</f>
        <v xml:space="preserve"> SER CABLE</v>
      </c>
      <c r="F7" s="229" t="str">
        <f>AA46</f>
        <v xml:space="preserve"> 3-#6 CU  </v>
      </c>
      <c r="G7" s="229" t="str">
        <f>AA47</f>
        <v xml:space="preserve"> 1-#6 GND</v>
      </c>
      <c r="H7" s="230">
        <f>AB43</f>
        <v>2433</v>
      </c>
      <c r="I7" s="230">
        <f>AC43</f>
        <v>0.49099999999999999</v>
      </c>
      <c r="J7" s="230" t="str">
        <f>W43</f>
        <v>#6</v>
      </c>
      <c r="K7" s="230" t="str">
        <f>X43</f>
        <v>#6</v>
      </c>
      <c r="L7" s="230">
        <f>Y43</f>
        <v>65</v>
      </c>
      <c r="M7" s="166" t="str">
        <f>V43</f>
        <v>6-6-6-6</v>
      </c>
      <c r="P7" s="229" t="s">
        <v>18</v>
      </c>
      <c r="Q7" s="229">
        <f>B7</f>
        <v>75</v>
      </c>
      <c r="S7" s="170"/>
      <c r="T7" s="631" t="s">
        <v>876</v>
      </c>
      <c r="U7" s="631"/>
      <c r="V7" s="62" t="s">
        <v>38</v>
      </c>
      <c r="W7" s="62" t="s">
        <v>38</v>
      </c>
      <c r="X7" s="62" t="s">
        <v>38</v>
      </c>
      <c r="Y7" s="62" t="s">
        <v>48</v>
      </c>
      <c r="Z7" s="62" t="s">
        <v>38</v>
      </c>
      <c r="AA7" s="631" t="s">
        <v>876</v>
      </c>
      <c r="AB7" s="62" t="s">
        <v>887</v>
      </c>
      <c r="AC7" s="62" t="s">
        <v>182</v>
      </c>
      <c r="AD7" s="169"/>
      <c r="AF7" s="62" t="s">
        <v>38</v>
      </c>
      <c r="AG7" s="62" t="s">
        <v>48</v>
      </c>
      <c r="AH7" s="62" t="s">
        <v>48</v>
      </c>
      <c r="AI7" s="62" t="s">
        <v>48</v>
      </c>
    </row>
    <row r="8" spans="1:35">
      <c r="A8" s="166" t="s">
        <v>952</v>
      </c>
      <c r="B8" s="652">
        <f>IF(Input!H8=1,3,4)</f>
        <v>4</v>
      </c>
      <c r="C8" s="229">
        <f>IF(AND(B8=4,B9="AL",B10="SER"),1,0)</f>
        <v>0</v>
      </c>
      <c r="D8" s="229" t="s">
        <v>959</v>
      </c>
      <c r="E8" s="229" t="str">
        <f>AA71</f>
        <v xml:space="preserve"> SER CABLE</v>
      </c>
      <c r="F8" s="229" t="str">
        <f>AA72</f>
        <v xml:space="preserve"> 4-#4 AL  </v>
      </c>
      <c r="G8" s="229" t="str">
        <f>AA73</f>
        <v xml:space="preserve"> 1-#6 GND</v>
      </c>
      <c r="H8" s="230">
        <f>AB69</f>
        <v>2353</v>
      </c>
      <c r="I8" s="230">
        <f>AC69</f>
        <v>0.50800000000000001</v>
      </c>
      <c r="J8" s="230" t="str">
        <f>W69</f>
        <v>#4</v>
      </c>
      <c r="K8" s="230" t="str">
        <f>X69</f>
        <v>#6</v>
      </c>
      <c r="L8" s="230">
        <f>Y69</f>
        <v>65</v>
      </c>
      <c r="M8" s="166" t="str">
        <f>V69</f>
        <v>4-4-4-4-6</v>
      </c>
      <c r="S8" s="170"/>
      <c r="T8" s="633"/>
      <c r="U8" s="633"/>
      <c r="V8" s="62" t="s">
        <v>74</v>
      </c>
      <c r="W8" s="62"/>
      <c r="X8" s="62"/>
      <c r="Y8" s="62" t="s">
        <v>77</v>
      </c>
      <c r="Z8" s="62" t="s">
        <v>390</v>
      </c>
      <c r="AA8" s="633"/>
      <c r="AB8" s="57"/>
      <c r="AC8" s="57" t="s">
        <v>77</v>
      </c>
      <c r="AD8" s="169"/>
      <c r="AF8" s="62" t="s">
        <v>74</v>
      </c>
      <c r="AG8" s="62" t="s">
        <v>77</v>
      </c>
      <c r="AH8" s="62" t="s">
        <v>77</v>
      </c>
      <c r="AI8" s="62" t="s">
        <v>77</v>
      </c>
    </row>
    <row r="9" spans="1:35">
      <c r="A9" s="229" t="s">
        <v>953</v>
      </c>
      <c r="B9" s="650" t="str">
        <f>Input!H14</f>
        <v>AL</v>
      </c>
      <c r="C9" s="229">
        <f>IF(AND(B8=3,B9="CU",B10="ROMEX"),1,0)</f>
        <v>0</v>
      </c>
      <c r="D9" s="229" t="s">
        <v>947</v>
      </c>
      <c r="E9" s="229" t="str">
        <f>AA92</f>
        <v xml:space="preserve"> ROMEX</v>
      </c>
      <c r="F9" s="229" t="str">
        <f>AA93</f>
        <v xml:space="preserve"> 3-#6 CU  </v>
      </c>
      <c r="G9" s="229" t="str">
        <f>AA94</f>
        <v xml:space="preserve"> 1-#10 GND</v>
      </c>
      <c r="H9" s="230">
        <f>AB90</f>
        <v>2433</v>
      </c>
      <c r="I9" s="230">
        <f>AC90</f>
        <v>0.49099999999999999</v>
      </c>
      <c r="J9" s="230" t="str">
        <f>W90</f>
        <v>#6</v>
      </c>
      <c r="K9" s="230" t="str">
        <f>X90</f>
        <v>#10</v>
      </c>
      <c r="L9" s="230">
        <f>Y90</f>
        <v>65</v>
      </c>
      <c r="M9" s="166" t="str">
        <f>V90</f>
        <v>6-6-6-6</v>
      </c>
      <c r="S9" s="170"/>
      <c r="T9" s="629">
        <v>100</v>
      </c>
      <c r="U9" s="629">
        <v>0</v>
      </c>
      <c r="V9" s="628" t="s">
        <v>878</v>
      </c>
      <c r="W9" s="628" t="s">
        <v>76</v>
      </c>
      <c r="X9" s="628" t="s">
        <v>76</v>
      </c>
      <c r="Y9" s="639">
        <f>IF($Q$7=60,AG9,IF($Q$7=75,AH9,IF($Q$7=90,AI9)))</f>
        <v>50</v>
      </c>
      <c r="Z9" s="629">
        <v>5</v>
      </c>
      <c r="AA9" s="629">
        <v>100</v>
      </c>
      <c r="AB9" s="629">
        <v>1482</v>
      </c>
      <c r="AC9" s="648">
        <v>0.80800000000000005</v>
      </c>
      <c r="AD9" s="169"/>
      <c r="AF9" s="58" t="s">
        <v>76</v>
      </c>
      <c r="AG9" s="58">
        <v>40</v>
      </c>
      <c r="AH9" s="58">
        <v>50</v>
      </c>
      <c r="AI9" s="58">
        <v>60</v>
      </c>
    </row>
    <row r="10" spans="1:35">
      <c r="A10" s="229" t="s">
        <v>873</v>
      </c>
      <c r="B10" s="651" t="str">
        <f>Input!H9</f>
        <v>CONDUIT</v>
      </c>
      <c r="C10" s="229">
        <f>IF(AND(B8=3,B9="AL",B10="MC"),1,0)</f>
        <v>0</v>
      </c>
      <c r="D10" s="229" t="s">
        <v>948</v>
      </c>
      <c r="E10" s="229" t="str">
        <f>AA119</f>
        <v xml:space="preserve"> MC CABLE</v>
      </c>
      <c r="F10" s="229" t="str">
        <f>AA120</f>
        <v xml:space="preserve"> 3-#4 AL  </v>
      </c>
      <c r="G10" s="229" t="str">
        <f>AA121</f>
        <v xml:space="preserve"> 1-#6 GND</v>
      </c>
      <c r="H10" s="230">
        <f>AB117</f>
        <v>2353</v>
      </c>
      <c r="I10" s="230">
        <f>AC117</f>
        <v>0.50800000000000001</v>
      </c>
      <c r="J10" s="230" t="str">
        <f>W117</f>
        <v>#4</v>
      </c>
      <c r="K10" s="230" t="str">
        <f>X117</f>
        <v>#6</v>
      </c>
      <c r="L10" s="230">
        <f>Y117</f>
        <v>65</v>
      </c>
      <c r="M10" s="166" t="str">
        <f>V117</f>
        <v>4-4-4-6</v>
      </c>
      <c r="S10" s="170"/>
      <c r="T10" s="631">
        <v>101</v>
      </c>
      <c r="U10" s="631">
        <f>Y9+0.0000001</f>
        <v>50.000000100000001</v>
      </c>
      <c r="V10" s="630" t="s">
        <v>879</v>
      </c>
      <c r="W10" s="630" t="s">
        <v>80</v>
      </c>
      <c r="X10" s="630" t="s">
        <v>76</v>
      </c>
      <c r="Y10" s="640">
        <f t="shared" ref="Y10:Y16" si="0">IF($Q$7=60,AG10,IF($Q$7=75,AH10,IF($Q$7=90,AI10)))</f>
        <v>65</v>
      </c>
      <c r="Z10" s="631">
        <v>6</v>
      </c>
      <c r="AA10" s="631">
        <v>101</v>
      </c>
      <c r="AB10" s="631">
        <v>2353</v>
      </c>
      <c r="AC10" s="648">
        <v>0.50800000000000001</v>
      </c>
      <c r="AD10" s="169"/>
      <c r="AF10" s="62" t="s">
        <v>80</v>
      </c>
      <c r="AG10" s="62">
        <v>55</v>
      </c>
      <c r="AH10" s="62">
        <v>65</v>
      </c>
      <c r="AI10" s="62">
        <v>75</v>
      </c>
    </row>
    <row r="11" spans="1:35">
      <c r="C11" s="229">
        <f>IF(AND(B8=4,B9="AL",B10="MC"),1,0)</f>
        <v>0</v>
      </c>
      <c r="D11" s="229" t="s">
        <v>949</v>
      </c>
      <c r="E11" s="229" t="str">
        <f>AA146</f>
        <v xml:space="preserve"> MC CABLE</v>
      </c>
      <c r="F11" s="229" t="str">
        <f>AA147</f>
        <v xml:space="preserve"> 4-#4 AL  </v>
      </c>
      <c r="G11" s="229" t="str">
        <f>AA148</f>
        <v xml:space="preserve"> 1-#6 GND</v>
      </c>
      <c r="H11" s="230">
        <f>AB144</f>
        <v>2353</v>
      </c>
      <c r="I11" s="230">
        <f>AC144</f>
        <v>0.50800000000000001</v>
      </c>
      <c r="J11" s="230" t="str">
        <f>W144</f>
        <v>#4</v>
      </c>
      <c r="K11" s="230" t="str">
        <f>X144</f>
        <v>#6</v>
      </c>
      <c r="L11" s="230">
        <f>Y144</f>
        <v>65</v>
      </c>
      <c r="M11" s="166" t="str">
        <f>V144</f>
        <v>4-4-4-4-6</v>
      </c>
      <c r="S11" s="170"/>
      <c r="T11" s="631">
        <v>102</v>
      </c>
      <c r="U11" s="631">
        <f t="shared" ref="U11:U17" si="1">Y10+0.0000001</f>
        <v>65.000000099999994</v>
      </c>
      <c r="V11" s="630" t="s">
        <v>880</v>
      </c>
      <c r="W11" s="630" t="s">
        <v>83</v>
      </c>
      <c r="X11" s="630" t="s">
        <v>80</v>
      </c>
      <c r="Y11" s="640">
        <f t="shared" si="0"/>
        <v>90</v>
      </c>
      <c r="Z11" s="631">
        <v>8</v>
      </c>
      <c r="AA11" s="631">
        <v>102</v>
      </c>
      <c r="AB11" s="631">
        <v>3740</v>
      </c>
      <c r="AC11" s="648">
        <v>0.31900000000000001</v>
      </c>
      <c r="AD11" s="169"/>
      <c r="AF11" s="62" t="s">
        <v>83</v>
      </c>
      <c r="AG11" s="62">
        <v>75</v>
      </c>
      <c r="AH11" s="62">
        <v>90</v>
      </c>
      <c r="AI11" s="62">
        <v>100</v>
      </c>
    </row>
    <row r="12" spans="1:35">
      <c r="C12" s="229">
        <f>IF(AND(B8=3,B9="CU",B10="MC"),1,0)</f>
        <v>0</v>
      </c>
      <c r="D12" s="229" t="s">
        <v>950</v>
      </c>
      <c r="E12" s="229" t="str">
        <f>AA172</f>
        <v xml:space="preserve"> MC CABLE</v>
      </c>
      <c r="F12" s="229" t="str">
        <f>AA173</f>
        <v xml:space="preserve"> 3-#4 CU  </v>
      </c>
      <c r="G12" s="229" t="str">
        <f>AA174</f>
        <v xml:space="preserve"> 1-#8 GND</v>
      </c>
      <c r="H12" s="230">
        <f>AB170</f>
        <v>3830</v>
      </c>
      <c r="I12" s="230">
        <f>AC170</f>
        <v>0.308</v>
      </c>
      <c r="J12" s="230" t="str">
        <f>W170</f>
        <v>#4</v>
      </c>
      <c r="K12" s="230" t="str">
        <f>X170</f>
        <v>#8</v>
      </c>
      <c r="L12" s="230">
        <f>Y170</f>
        <v>85</v>
      </c>
      <c r="M12" s="166" t="str">
        <f>V170</f>
        <v>4-4-4-8</v>
      </c>
      <c r="S12" s="170"/>
      <c r="T12" s="631">
        <v>103</v>
      </c>
      <c r="U12" s="631">
        <f t="shared" si="1"/>
        <v>90.000000099999994</v>
      </c>
      <c r="V12" s="630" t="s">
        <v>881</v>
      </c>
      <c r="W12" s="630" t="s">
        <v>87</v>
      </c>
      <c r="X12" s="630" t="s">
        <v>84</v>
      </c>
      <c r="Y12" s="640">
        <f t="shared" si="0"/>
        <v>100</v>
      </c>
      <c r="Z12" s="631">
        <v>9</v>
      </c>
      <c r="AA12" s="631">
        <v>103</v>
      </c>
      <c r="AB12" s="631">
        <v>4699</v>
      </c>
      <c r="AC12" s="648">
        <v>0.253</v>
      </c>
      <c r="AD12" s="169"/>
      <c r="AF12" s="62" t="s">
        <v>87</v>
      </c>
      <c r="AG12" s="62">
        <v>85</v>
      </c>
      <c r="AH12" s="62">
        <v>100</v>
      </c>
      <c r="AI12" s="62">
        <v>115</v>
      </c>
    </row>
    <row r="13" spans="1:35">
      <c r="C13" s="229">
        <f>IF(AND(B8=4,B9="CU",B10="MC"),1,0)</f>
        <v>0</v>
      </c>
      <c r="D13" s="229" t="s">
        <v>951</v>
      </c>
      <c r="E13" s="229" t="str">
        <f>AA199</f>
        <v xml:space="preserve"> MC CABLE</v>
      </c>
      <c r="F13" s="229" t="str">
        <f>AA200</f>
        <v xml:space="preserve"> 4-#4 CU  </v>
      </c>
      <c r="G13" s="229" t="str">
        <f>AA201</f>
        <v xml:space="preserve"> 1-#8 GND</v>
      </c>
      <c r="H13" s="230">
        <f>AB197</f>
        <v>3830</v>
      </c>
      <c r="I13" s="230">
        <f>AC197</f>
        <v>0.308</v>
      </c>
      <c r="J13" s="230" t="str">
        <f>W197</f>
        <v>#4</v>
      </c>
      <c r="K13" s="230" t="str">
        <f>X197</f>
        <v>#8</v>
      </c>
      <c r="L13" s="230">
        <f>Y197</f>
        <v>85</v>
      </c>
      <c r="M13" s="166" t="str">
        <f>V197</f>
        <v>4-4-4-4-8</v>
      </c>
      <c r="S13" s="170"/>
      <c r="T13" s="631">
        <v>104</v>
      </c>
      <c r="U13" s="631">
        <f t="shared" si="1"/>
        <v>100.00000009999999</v>
      </c>
      <c r="V13" s="630" t="s">
        <v>882</v>
      </c>
      <c r="W13" s="630" t="s">
        <v>93</v>
      </c>
      <c r="X13" s="630" t="s">
        <v>83</v>
      </c>
      <c r="Y13" s="640">
        <f t="shared" si="0"/>
        <v>120</v>
      </c>
      <c r="Z13" s="631">
        <v>10</v>
      </c>
      <c r="AA13" s="631">
        <v>104</v>
      </c>
      <c r="AB13" s="631">
        <v>5876</v>
      </c>
      <c r="AC13" s="648">
        <v>0.20100000000000001</v>
      </c>
      <c r="AD13" s="169"/>
      <c r="AF13" s="62" t="s">
        <v>93</v>
      </c>
      <c r="AG13" s="62">
        <v>100</v>
      </c>
      <c r="AH13" s="62">
        <v>120</v>
      </c>
      <c r="AI13" s="62">
        <v>135</v>
      </c>
    </row>
    <row r="14" spans="1:35">
      <c r="S14" s="170"/>
      <c r="T14" s="631">
        <v>105</v>
      </c>
      <c r="U14" s="631">
        <f t="shared" si="1"/>
        <v>120.00000009999999</v>
      </c>
      <c r="V14" s="630" t="s">
        <v>883</v>
      </c>
      <c r="W14" s="630" t="s">
        <v>97</v>
      </c>
      <c r="X14" s="630" t="s">
        <v>87</v>
      </c>
      <c r="Y14" s="640">
        <f t="shared" si="0"/>
        <v>135</v>
      </c>
      <c r="Z14" s="631">
        <v>11</v>
      </c>
      <c r="AA14" s="631">
        <v>105</v>
      </c>
      <c r="AB14" s="631">
        <v>7373</v>
      </c>
      <c r="AC14" s="648">
        <v>0.159</v>
      </c>
      <c r="AD14" s="169"/>
      <c r="AF14" s="62" t="s">
        <v>97</v>
      </c>
      <c r="AG14" s="62">
        <v>115</v>
      </c>
      <c r="AH14" s="62">
        <v>135</v>
      </c>
      <c r="AI14" s="62">
        <v>150</v>
      </c>
    </row>
    <row r="15" spans="1:35">
      <c r="S15" s="170"/>
      <c r="T15" s="631">
        <v>106</v>
      </c>
      <c r="U15" s="631">
        <f t="shared" si="1"/>
        <v>135.00000009999999</v>
      </c>
      <c r="V15" s="630" t="s">
        <v>885</v>
      </c>
      <c r="W15" s="630" t="s">
        <v>101</v>
      </c>
      <c r="X15" s="630" t="s">
        <v>93</v>
      </c>
      <c r="Y15" s="640">
        <f t="shared" si="0"/>
        <v>155</v>
      </c>
      <c r="Z15" s="631">
        <v>12</v>
      </c>
      <c r="AA15" s="631">
        <v>106</v>
      </c>
      <c r="AB15" s="631">
        <v>9243</v>
      </c>
      <c r="AC15" s="648">
        <v>0.126</v>
      </c>
      <c r="AD15" s="169"/>
      <c r="AF15" s="62" t="s">
        <v>101</v>
      </c>
      <c r="AG15" s="62">
        <v>130</v>
      </c>
      <c r="AH15" s="62">
        <v>155</v>
      </c>
      <c r="AI15" s="62">
        <v>175</v>
      </c>
    </row>
    <row r="16" spans="1:35">
      <c r="D16" s="229" t="str">
        <f t="shared" ref="D16:M16" si="2">IF($C6=1,D6,IF($C7=1,D7,IF($C8=1,D8,IF($C9=1,D9,IF($C10=1,D10,IF($C11=1,D11,IF($C12=1,D12,IF($C13=1,D13,"ERROR"))))))))</f>
        <v>ERROR</v>
      </c>
      <c r="E16" s="229" t="str">
        <f t="shared" si="2"/>
        <v>ERROR</v>
      </c>
      <c r="F16" s="229" t="str">
        <f t="shared" si="2"/>
        <v>ERROR</v>
      </c>
      <c r="G16" s="229" t="str">
        <f t="shared" si="2"/>
        <v>ERROR</v>
      </c>
      <c r="H16" s="230" t="str">
        <f t="shared" si="2"/>
        <v>ERROR</v>
      </c>
      <c r="I16" s="230" t="str">
        <f t="shared" si="2"/>
        <v>ERROR</v>
      </c>
      <c r="J16" s="230" t="str">
        <f t="shared" si="2"/>
        <v>ERROR</v>
      </c>
      <c r="K16" s="230" t="str">
        <f t="shared" si="2"/>
        <v>ERROR</v>
      </c>
      <c r="L16" s="230" t="str">
        <f t="shared" si="2"/>
        <v>ERROR</v>
      </c>
      <c r="M16" s="229" t="str">
        <f t="shared" si="2"/>
        <v>ERROR</v>
      </c>
      <c r="S16" s="170"/>
      <c r="T16" s="631">
        <v>107</v>
      </c>
      <c r="U16" s="631">
        <f t="shared" si="1"/>
        <v>155.00000009999999</v>
      </c>
      <c r="V16" s="630" t="s">
        <v>884</v>
      </c>
      <c r="W16" s="630" t="s">
        <v>103</v>
      </c>
      <c r="X16" s="630" t="s">
        <v>97</v>
      </c>
      <c r="Y16" s="640">
        <f t="shared" si="0"/>
        <v>180</v>
      </c>
      <c r="Z16" s="631">
        <v>13</v>
      </c>
      <c r="AA16" s="631">
        <v>107</v>
      </c>
      <c r="AB16" s="631">
        <v>11409</v>
      </c>
      <c r="AC16" s="648">
        <v>0.1</v>
      </c>
      <c r="AD16" s="169"/>
      <c r="AF16" s="57" t="s">
        <v>103</v>
      </c>
      <c r="AG16" s="57">
        <v>150</v>
      </c>
      <c r="AH16" s="57">
        <v>180</v>
      </c>
      <c r="AI16" s="57">
        <v>205</v>
      </c>
    </row>
    <row r="17" spans="4:37">
      <c r="S17" s="170"/>
      <c r="T17" s="633">
        <v>108</v>
      </c>
      <c r="U17" s="633">
        <f t="shared" si="1"/>
        <v>180.00000009999999</v>
      </c>
      <c r="V17" s="632" t="s">
        <v>877</v>
      </c>
      <c r="W17" s="632" t="s">
        <v>877</v>
      </c>
      <c r="X17" s="632" t="s">
        <v>877</v>
      </c>
      <c r="Y17" s="641">
        <f>Y16</f>
        <v>180</v>
      </c>
      <c r="Z17" s="633" t="s">
        <v>877</v>
      </c>
      <c r="AA17" s="633">
        <v>108</v>
      </c>
      <c r="AB17" s="642" t="s">
        <v>877</v>
      </c>
      <c r="AC17" s="642" t="s">
        <v>877</v>
      </c>
      <c r="AD17" s="169"/>
      <c r="AF17" s="166"/>
    </row>
    <row r="18" spans="4:37">
      <c r="D18" s="645" t="str">
        <f>D16</f>
        <v>ERROR</v>
      </c>
      <c r="E18" s="645" t="str">
        <f>IF($M16="EXCEED","ERROR",E16)</f>
        <v>ERROR</v>
      </c>
      <c r="F18" s="645" t="str">
        <f t="shared" ref="F18:K18" si="3">IF($M16="EXCEED","ERROR",F16)</f>
        <v>ERROR</v>
      </c>
      <c r="G18" s="645" t="str">
        <f t="shared" si="3"/>
        <v>ERROR</v>
      </c>
      <c r="H18" s="647" t="str">
        <f t="shared" si="3"/>
        <v>ERROR</v>
      </c>
      <c r="I18" s="647" t="str">
        <f t="shared" si="3"/>
        <v>ERROR</v>
      </c>
      <c r="J18" s="647" t="str">
        <f t="shared" si="3"/>
        <v>ERROR</v>
      </c>
      <c r="K18" s="647" t="str">
        <f t="shared" si="3"/>
        <v>ERROR</v>
      </c>
      <c r="L18" s="647" t="str">
        <f>L16</f>
        <v>ERROR</v>
      </c>
      <c r="M18" s="645" t="str">
        <f>M16</f>
        <v>ERROR</v>
      </c>
      <c r="S18" s="170"/>
      <c r="T18" s="166"/>
      <c r="U18" s="166"/>
      <c r="V18" s="635"/>
      <c r="W18" s="635"/>
      <c r="X18" s="635"/>
      <c r="Y18" s="166"/>
      <c r="Z18" s="166"/>
      <c r="AA18" s="166"/>
      <c r="AB18" s="166"/>
      <c r="AC18" s="166"/>
      <c r="AD18" s="169"/>
      <c r="AF18" s="166"/>
    </row>
    <row r="19" spans="4:37">
      <c r="S19" s="170"/>
      <c r="T19" s="166">
        <f>VLOOKUP(AA19,T9:AA17,1)</f>
        <v>101</v>
      </c>
      <c r="U19" s="166"/>
      <c r="V19" s="166" t="str">
        <f>VLOOKUP(Q6,U9:AB17,2)</f>
        <v>4-4-4-6</v>
      </c>
      <c r="W19" s="166" t="str">
        <f>VLOOKUP(Q6,U9:AB17,3)</f>
        <v>#4</v>
      </c>
      <c r="X19" s="166" t="str">
        <f>VLOOKUP(Q6,U9:AB17,4)</f>
        <v>#6</v>
      </c>
      <c r="Y19" s="166">
        <f>VLOOKUP(Q6,U9:AB17,5)</f>
        <v>65</v>
      </c>
      <c r="Z19" s="166">
        <f>VLOOKUP(Q6,U9:AB17,6)</f>
        <v>6</v>
      </c>
      <c r="AA19" s="166">
        <f>VLOOKUP(Q6,U9:AB17,7)</f>
        <v>101</v>
      </c>
      <c r="AB19" s="166">
        <f>VLOOKUP(Q6,U9:AB17,8)</f>
        <v>2353</v>
      </c>
      <c r="AC19" s="166">
        <f>VLOOKUP(Q6,U9:AC17,9)</f>
        <v>0.50800000000000001</v>
      </c>
      <c r="AD19" s="169"/>
      <c r="AF19" s="166"/>
    </row>
    <row r="20" spans="4:37">
      <c r="S20" s="170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9"/>
    </row>
    <row r="21" spans="4:37">
      <c r="R21" s="627"/>
      <c r="S21" s="170"/>
      <c r="T21" s="166"/>
      <c r="U21" s="166"/>
      <c r="V21" s="166" t="s">
        <v>899</v>
      </c>
      <c r="W21" s="166"/>
      <c r="X21" s="166"/>
      <c r="Y21" s="166"/>
      <c r="Z21" s="166"/>
      <c r="AA21" s="166" t="str">
        <f>CONCATENATE(V21,W21,X21,Y21)</f>
        <v xml:space="preserve"> SER CABLE</v>
      </c>
      <c r="AB21" s="166"/>
      <c r="AC21" s="166"/>
      <c r="AD21" s="169"/>
    </row>
    <row r="22" spans="4:37">
      <c r="R22" s="627"/>
      <c r="S22" s="170"/>
      <c r="T22" s="166"/>
      <c r="U22" s="166"/>
      <c r="V22" s="166" t="s">
        <v>900</v>
      </c>
      <c r="W22" s="166" t="str">
        <f>W19</f>
        <v>#4</v>
      </c>
      <c r="X22" s="166" t="s">
        <v>641</v>
      </c>
      <c r="Y22" s="166" t="s">
        <v>12</v>
      </c>
      <c r="Z22" s="166" t="s">
        <v>12</v>
      </c>
      <c r="AA22" s="166" t="str">
        <f>CONCATENATE(V22,W22,X22,Y22,Z22)</f>
        <v xml:space="preserve"> 3-#4 AL  </v>
      </c>
      <c r="AB22" s="166"/>
      <c r="AC22" s="166"/>
      <c r="AD22" s="169"/>
      <c r="AK22" s="1"/>
    </row>
    <row r="23" spans="4:37">
      <c r="D23" s="229" t="s">
        <v>964</v>
      </c>
      <c r="E23" s="229">
        <f>B6</f>
        <v>57.9</v>
      </c>
      <c r="F23" s="229" t="s">
        <v>962</v>
      </c>
      <c r="J23" s="646" t="str">
        <f>CONCATENATE(D23,E23,F23)</f>
        <v xml:space="preserve"> THE DESIGN LOAD OF 57.9 AMPS EXCEEDS THE MAXIMUM</v>
      </c>
      <c r="R23" s="627"/>
      <c r="S23" s="170"/>
      <c r="T23" s="166"/>
      <c r="U23" s="166"/>
      <c r="V23" s="166" t="s">
        <v>901</v>
      </c>
      <c r="W23" s="166" t="str">
        <f>X19</f>
        <v>#6</v>
      </c>
      <c r="X23" s="166" t="s">
        <v>825</v>
      </c>
      <c r="Y23" s="166"/>
      <c r="Z23" s="166"/>
      <c r="AA23" s="166" t="str">
        <f>CONCATENATE(V23,W23,X23,Y23,Z23)</f>
        <v xml:space="preserve"> 1-#6 GND</v>
      </c>
      <c r="AB23" s="166"/>
      <c r="AC23" s="166"/>
      <c r="AD23" s="169"/>
    </row>
    <row r="24" spans="4:37">
      <c r="D24" s="229" t="s">
        <v>965</v>
      </c>
      <c r="E24" s="229" t="str">
        <f>L18</f>
        <v>ERROR</v>
      </c>
      <c r="F24" s="229" t="s">
        <v>963</v>
      </c>
      <c r="J24" s="646" t="str">
        <f>CONCATENATE(D24,E24,F24)</f>
        <v xml:space="preserve"> CABLE RATING OF ERROR AMPS</v>
      </c>
      <c r="S24" s="636"/>
      <c r="T24" s="637"/>
      <c r="U24" s="637"/>
      <c r="V24" s="637"/>
      <c r="W24" s="637"/>
      <c r="X24" s="637"/>
      <c r="Y24" s="637"/>
      <c r="Z24" s="637"/>
      <c r="AA24" s="637"/>
      <c r="AB24" s="637"/>
      <c r="AC24" s="637"/>
      <c r="AD24" s="638"/>
      <c r="AF24" s="166"/>
    </row>
    <row r="25" spans="4:37">
      <c r="AF25" s="166"/>
    </row>
    <row r="26" spans="4:37">
      <c r="AF26" s="166"/>
    </row>
    <row r="27" spans="4:37">
      <c r="S27" s="166" t="s">
        <v>955</v>
      </c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F27" s="166"/>
    </row>
    <row r="28" spans="4:37">
      <c r="S28" s="634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4"/>
      <c r="AF28" s="24" t="s">
        <v>72</v>
      </c>
      <c r="AG28" s="1"/>
      <c r="AH28" s="1"/>
      <c r="AI28" s="1"/>
      <c r="AJ28" s="1"/>
    </row>
    <row r="29" spans="4:37">
      <c r="P29" s="229" t="s">
        <v>48</v>
      </c>
      <c r="Q29" s="229">
        <f>B6</f>
        <v>57.9</v>
      </c>
      <c r="S29" s="170"/>
      <c r="T29" s="629" t="s">
        <v>875</v>
      </c>
      <c r="U29" s="629" t="s">
        <v>30</v>
      </c>
      <c r="V29" s="58" t="s">
        <v>68</v>
      </c>
      <c r="W29" s="58" t="s">
        <v>68</v>
      </c>
      <c r="X29" s="58" t="s">
        <v>34</v>
      </c>
      <c r="Y29" s="639" t="str">
        <f>IF($Q$30=60,AG29,IF($Q$30=75,AH29,IF($Q$30=90,AI29)))</f>
        <v>75 C</v>
      </c>
      <c r="Z29" s="58" t="s">
        <v>68</v>
      </c>
      <c r="AA29" s="629" t="s">
        <v>875</v>
      </c>
      <c r="AB29" s="58" t="s">
        <v>886</v>
      </c>
      <c r="AC29" s="58" t="s">
        <v>179</v>
      </c>
      <c r="AD29" s="169"/>
      <c r="AF29" s="58" t="s">
        <v>68</v>
      </c>
      <c r="AG29" s="58" t="s">
        <v>69</v>
      </c>
      <c r="AH29" s="58" t="s">
        <v>70</v>
      </c>
      <c r="AI29" s="58" t="s">
        <v>71</v>
      </c>
    </row>
    <row r="30" spans="4:37">
      <c r="P30" s="229" t="s">
        <v>18</v>
      </c>
      <c r="Q30" s="229">
        <f>B7</f>
        <v>75</v>
      </c>
      <c r="S30" s="170"/>
      <c r="T30" s="631" t="s">
        <v>876</v>
      </c>
      <c r="U30" s="631"/>
      <c r="V30" s="62" t="s">
        <v>38</v>
      </c>
      <c r="W30" s="62" t="s">
        <v>38</v>
      </c>
      <c r="X30" s="62" t="s">
        <v>38</v>
      </c>
      <c r="Y30" s="62" t="s">
        <v>48</v>
      </c>
      <c r="Z30" s="62" t="s">
        <v>38</v>
      </c>
      <c r="AA30" s="631" t="s">
        <v>876</v>
      </c>
      <c r="AB30" s="62" t="s">
        <v>887</v>
      </c>
      <c r="AC30" s="62" t="s">
        <v>182</v>
      </c>
      <c r="AD30" s="169"/>
      <c r="AF30" s="62" t="s">
        <v>38</v>
      </c>
      <c r="AG30" s="62" t="s">
        <v>48</v>
      </c>
      <c r="AH30" s="62" t="s">
        <v>48</v>
      </c>
      <c r="AI30" s="62" t="s">
        <v>48</v>
      </c>
    </row>
    <row r="31" spans="4:37">
      <c r="S31" s="170"/>
      <c r="T31" s="633"/>
      <c r="U31" s="633"/>
      <c r="V31" s="62" t="s">
        <v>74</v>
      </c>
      <c r="W31" s="62"/>
      <c r="X31" s="62"/>
      <c r="Y31" s="62" t="s">
        <v>60</v>
      </c>
      <c r="Z31" s="62" t="s">
        <v>390</v>
      </c>
      <c r="AA31" s="633"/>
      <c r="AB31" s="57"/>
      <c r="AC31" s="57" t="s">
        <v>60</v>
      </c>
      <c r="AD31" s="169"/>
      <c r="AF31" s="62" t="s">
        <v>74</v>
      </c>
      <c r="AG31" s="62" t="s">
        <v>60</v>
      </c>
      <c r="AH31" s="62" t="s">
        <v>60</v>
      </c>
      <c r="AI31" s="62" t="s">
        <v>60</v>
      </c>
    </row>
    <row r="32" spans="4:37">
      <c r="S32" s="170"/>
      <c r="T32" s="629">
        <v>100</v>
      </c>
      <c r="U32" s="629">
        <v>0</v>
      </c>
      <c r="V32" s="628" t="s">
        <v>878</v>
      </c>
      <c r="W32" s="628" t="s">
        <v>76</v>
      </c>
      <c r="X32" s="628" t="s">
        <v>76</v>
      </c>
      <c r="Y32" s="639">
        <f t="shared" ref="Y32:Y40" si="4">IF($Q$30=60,AG32,IF($Q$30=75,AH32,IF($Q$30=90,AI32)))</f>
        <v>65</v>
      </c>
      <c r="Z32" s="629">
        <v>5</v>
      </c>
      <c r="AA32" s="629">
        <v>100</v>
      </c>
      <c r="AB32" s="629">
        <v>2433</v>
      </c>
      <c r="AC32" s="169">
        <v>0.49099999999999999</v>
      </c>
      <c r="AD32" s="169"/>
      <c r="AF32" s="58" t="s">
        <v>76</v>
      </c>
      <c r="AG32" s="58">
        <v>55</v>
      </c>
      <c r="AH32" s="58">
        <v>65</v>
      </c>
      <c r="AI32" s="58">
        <v>75</v>
      </c>
    </row>
    <row r="33" spans="19:37">
      <c r="S33" s="170"/>
      <c r="T33" s="631">
        <v>101</v>
      </c>
      <c r="U33" s="631">
        <f>Y32+0.0000001</f>
        <v>65.000000099999994</v>
      </c>
      <c r="V33" s="630" t="s">
        <v>879</v>
      </c>
      <c r="W33" s="630" t="s">
        <v>80</v>
      </c>
      <c r="X33" s="630" t="s">
        <v>76</v>
      </c>
      <c r="Y33" s="640">
        <f t="shared" si="4"/>
        <v>85</v>
      </c>
      <c r="Z33" s="631">
        <v>6</v>
      </c>
      <c r="AA33" s="631">
        <v>101</v>
      </c>
      <c r="AB33" s="631">
        <v>3838</v>
      </c>
      <c r="AC33" s="169">
        <v>0.308</v>
      </c>
      <c r="AD33" s="169"/>
      <c r="AF33" s="62" t="s">
        <v>80</v>
      </c>
      <c r="AG33" s="62">
        <v>70</v>
      </c>
      <c r="AH33" s="62">
        <v>85</v>
      </c>
      <c r="AI33" s="62">
        <v>95</v>
      </c>
    </row>
    <row r="34" spans="19:37">
      <c r="S34" s="170"/>
      <c r="T34" s="631">
        <v>102</v>
      </c>
      <c r="U34" s="631">
        <f t="shared" ref="U34:U41" si="5">Y33+0.0000001</f>
        <v>85.000000099999994</v>
      </c>
      <c r="V34" s="630" t="s">
        <v>888</v>
      </c>
      <c r="W34" s="630" t="s">
        <v>84</v>
      </c>
      <c r="X34" s="630" t="s">
        <v>902</v>
      </c>
      <c r="Y34" s="640">
        <f t="shared" si="4"/>
        <v>100</v>
      </c>
      <c r="Z34" s="631">
        <v>7</v>
      </c>
      <c r="AA34" s="631">
        <v>102</v>
      </c>
      <c r="AB34" s="631">
        <v>4833</v>
      </c>
      <c r="AC34" s="169">
        <v>0.245</v>
      </c>
      <c r="AD34" s="169"/>
      <c r="AF34" s="62" t="s">
        <v>84</v>
      </c>
      <c r="AG34" s="62">
        <v>85</v>
      </c>
      <c r="AH34" s="62">
        <v>100</v>
      </c>
      <c r="AI34" s="62">
        <v>110</v>
      </c>
    </row>
    <row r="35" spans="19:37">
      <c r="S35" s="170"/>
      <c r="T35" s="631">
        <v>103</v>
      </c>
      <c r="U35" s="631">
        <f t="shared" si="5"/>
        <v>100.00000009999999</v>
      </c>
      <c r="V35" s="630" t="s">
        <v>880</v>
      </c>
      <c r="W35" s="630" t="s">
        <v>83</v>
      </c>
      <c r="X35" s="630" t="s">
        <v>80</v>
      </c>
      <c r="Y35" s="640">
        <f t="shared" si="4"/>
        <v>115</v>
      </c>
      <c r="Z35" s="631">
        <v>8</v>
      </c>
      <c r="AA35" s="631">
        <v>103</v>
      </c>
      <c r="AB35" s="631">
        <v>6087</v>
      </c>
      <c r="AC35" s="169">
        <v>0.19400000000000001</v>
      </c>
      <c r="AD35" s="169"/>
      <c r="AF35" s="62" t="s">
        <v>83</v>
      </c>
      <c r="AG35" s="62">
        <v>95</v>
      </c>
      <c r="AH35" s="62">
        <v>115</v>
      </c>
      <c r="AI35" s="62">
        <v>130</v>
      </c>
    </row>
    <row r="36" spans="19:37">
      <c r="S36" s="170"/>
      <c r="T36" s="631">
        <v>104</v>
      </c>
      <c r="U36" s="631">
        <f t="shared" si="5"/>
        <v>115.00000009999999</v>
      </c>
      <c r="V36" s="630" t="s">
        <v>881</v>
      </c>
      <c r="W36" s="630" t="s">
        <v>87</v>
      </c>
      <c r="X36" s="630" t="s">
        <v>84</v>
      </c>
      <c r="Y36" s="640">
        <f t="shared" si="4"/>
        <v>130</v>
      </c>
      <c r="Z36" s="631">
        <v>9</v>
      </c>
      <c r="AA36" s="631">
        <v>104</v>
      </c>
      <c r="AB36" s="631">
        <v>7579</v>
      </c>
      <c r="AC36" s="169">
        <v>0.154</v>
      </c>
      <c r="AD36" s="169"/>
      <c r="AF36" s="62" t="s">
        <v>87</v>
      </c>
      <c r="AG36" s="62">
        <v>110</v>
      </c>
      <c r="AH36" s="62">
        <v>130</v>
      </c>
      <c r="AI36" s="62">
        <v>150</v>
      </c>
    </row>
    <row r="37" spans="19:37">
      <c r="S37" s="170"/>
      <c r="T37" s="631">
        <v>105</v>
      </c>
      <c r="U37" s="631">
        <f t="shared" si="5"/>
        <v>130.00000009999999</v>
      </c>
      <c r="V37" s="630" t="s">
        <v>882</v>
      </c>
      <c r="W37" s="630" t="s">
        <v>93</v>
      </c>
      <c r="X37" s="630" t="s">
        <v>83</v>
      </c>
      <c r="Y37" s="640">
        <f t="shared" si="4"/>
        <v>150</v>
      </c>
      <c r="Z37" s="631">
        <v>10</v>
      </c>
      <c r="AA37" s="631">
        <v>105</v>
      </c>
      <c r="AB37" s="631">
        <v>9473</v>
      </c>
      <c r="AC37" s="169">
        <v>0.122</v>
      </c>
      <c r="AD37" s="169"/>
      <c r="AF37" s="62" t="s">
        <v>93</v>
      </c>
      <c r="AG37" s="62">
        <v>125</v>
      </c>
      <c r="AH37" s="62">
        <v>150</v>
      </c>
      <c r="AI37" s="62">
        <v>170</v>
      </c>
    </row>
    <row r="38" spans="19:37">
      <c r="S38" s="170"/>
      <c r="T38" s="631">
        <v>106</v>
      </c>
      <c r="U38" s="631">
        <f t="shared" si="5"/>
        <v>150.00000009999999</v>
      </c>
      <c r="V38" s="630" t="s">
        <v>883</v>
      </c>
      <c r="W38" s="630" t="s">
        <v>97</v>
      </c>
      <c r="X38" s="630" t="s">
        <v>87</v>
      </c>
      <c r="Y38" s="640">
        <f t="shared" si="4"/>
        <v>175</v>
      </c>
      <c r="Z38" s="631">
        <v>11</v>
      </c>
      <c r="AA38" s="631">
        <v>106</v>
      </c>
      <c r="AB38" s="631">
        <v>11703</v>
      </c>
      <c r="AC38" s="169">
        <v>9.6699999999999994E-2</v>
      </c>
      <c r="AD38" s="169"/>
      <c r="AF38" s="62" t="s">
        <v>97</v>
      </c>
      <c r="AG38" s="62">
        <v>145</v>
      </c>
      <c r="AH38" s="62">
        <v>175</v>
      </c>
      <c r="AI38" s="62">
        <v>195</v>
      </c>
    </row>
    <row r="39" spans="19:37">
      <c r="S39" s="170"/>
      <c r="T39" s="631">
        <v>107</v>
      </c>
      <c r="U39" s="631">
        <f t="shared" si="5"/>
        <v>175.00000009999999</v>
      </c>
      <c r="V39" s="630" t="s">
        <v>885</v>
      </c>
      <c r="W39" s="630" t="s">
        <v>101</v>
      </c>
      <c r="X39" s="630" t="s">
        <v>93</v>
      </c>
      <c r="Y39" s="640">
        <f t="shared" si="4"/>
        <v>200</v>
      </c>
      <c r="Z39" s="631">
        <v>12</v>
      </c>
      <c r="AA39" s="631">
        <v>107</v>
      </c>
      <c r="AB39" s="631">
        <v>14410</v>
      </c>
      <c r="AC39" s="169">
        <v>7.6600000000000001E-2</v>
      </c>
      <c r="AD39" s="169"/>
      <c r="AF39" s="62" t="s">
        <v>101</v>
      </c>
      <c r="AG39" s="62">
        <v>165</v>
      </c>
      <c r="AH39" s="62">
        <v>200</v>
      </c>
      <c r="AI39" s="62">
        <v>225</v>
      </c>
    </row>
    <row r="40" spans="19:37">
      <c r="S40" s="170"/>
      <c r="T40" s="631">
        <v>108</v>
      </c>
      <c r="U40" s="631">
        <f t="shared" si="5"/>
        <v>200.00000009999999</v>
      </c>
      <c r="V40" s="630" t="s">
        <v>884</v>
      </c>
      <c r="W40" s="630" t="s">
        <v>103</v>
      </c>
      <c r="X40" s="630" t="s">
        <v>97</v>
      </c>
      <c r="Y40" s="640">
        <f t="shared" si="4"/>
        <v>230</v>
      </c>
      <c r="Z40" s="631">
        <v>13</v>
      </c>
      <c r="AA40" s="631">
        <v>108</v>
      </c>
      <c r="AB40" s="631">
        <v>17483</v>
      </c>
      <c r="AC40" s="169">
        <v>6.08E-2</v>
      </c>
      <c r="AD40" s="169"/>
      <c r="AF40" s="57" t="s">
        <v>103</v>
      </c>
      <c r="AG40" s="57">
        <v>195</v>
      </c>
      <c r="AH40" s="57">
        <v>230</v>
      </c>
      <c r="AI40" s="57">
        <v>260</v>
      </c>
    </row>
    <row r="41" spans="19:37">
      <c r="S41" s="170"/>
      <c r="T41" s="633">
        <v>109</v>
      </c>
      <c r="U41" s="633">
        <f t="shared" si="5"/>
        <v>230.00000009999999</v>
      </c>
      <c r="V41" s="632" t="s">
        <v>877</v>
      </c>
      <c r="W41" s="632" t="s">
        <v>877</v>
      </c>
      <c r="X41" s="632" t="s">
        <v>877</v>
      </c>
      <c r="Y41" s="641">
        <f>Y40</f>
        <v>230</v>
      </c>
      <c r="Z41" s="633" t="s">
        <v>877</v>
      </c>
      <c r="AA41" s="633">
        <v>109</v>
      </c>
      <c r="AB41" s="642" t="s">
        <v>877</v>
      </c>
      <c r="AC41" s="642" t="s">
        <v>877</v>
      </c>
      <c r="AD41" s="169"/>
      <c r="AF41" s="166"/>
    </row>
    <row r="42" spans="19:37">
      <c r="S42" s="170"/>
      <c r="T42" s="166"/>
      <c r="U42" s="166"/>
      <c r="V42" s="635"/>
      <c r="W42" s="635"/>
      <c r="X42" s="635"/>
      <c r="Y42" s="166"/>
      <c r="Z42" s="166"/>
      <c r="AA42" s="166"/>
      <c r="AB42" s="166"/>
      <c r="AC42" s="166"/>
      <c r="AD42" s="169"/>
      <c r="AF42" s="166"/>
    </row>
    <row r="43" spans="19:37">
      <c r="S43" s="170"/>
      <c r="T43" s="166">
        <f>VLOOKUP(AA43,T32:AA41,1)</f>
        <v>100</v>
      </c>
      <c r="U43" s="166"/>
      <c r="V43" s="166" t="str">
        <f>VLOOKUP(Q29,U32:AB41,2)</f>
        <v>6-6-6-6</v>
      </c>
      <c r="W43" s="166" t="str">
        <f>VLOOKUP(Q29,U32:AB41,3)</f>
        <v>#6</v>
      </c>
      <c r="X43" s="166" t="str">
        <f>VLOOKUP(Q29,U32:AB41,4)</f>
        <v>#6</v>
      </c>
      <c r="Y43" s="166">
        <f>VLOOKUP(Q29,U32:AB41,5)</f>
        <v>65</v>
      </c>
      <c r="Z43" s="166">
        <f>VLOOKUP(Q29,U32:AB41,6)</f>
        <v>5</v>
      </c>
      <c r="AA43" s="166">
        <f>VLOOKUP(Q29,U32:AB41,7)</f>
        <v>100</v>
      </c>
      <c r="AB43" s="166">
        <f>VLOOKUP(Q29,U32:AB41,8)</f>
        <v>2433</v>
      </c>
      <c r="AC43" s="166">
        <f>VLOOKUP(Q29,U32:AC41,9)</f>
        <v>0.49099999999999999</v>
      </c>
      <c r="AD43" s="169"/>
      <c r="AF43" s="166"/>
    </row>
    <row r="44" spans="19:37">
      <c r="S44" s="170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9"/>
      <c r="AF44" s="166"/>
    </row>
    <row r="45" spans="19:37">
      <c r="S45" s="170"/>
      <c r="T45" s="166"/>
      <c r="U45" s="166"/>
      <c r="V45" s="166" t="s">
        <v>899</v>
      </c>
      <c r="W45" s="166"/>
      <c r="X45" s="166"/>
      <c r="Y45" s="166"/>
      <c r="Z45" s="166"/>
      <c r="AA45" s="166" t="str">
        <f>CONCATENATE(V45,W45,X45,Y45)</f>
        <v xml:space="preserve"> SER CABLE</v>
      </c>
      <c r="AB45" s="166"/>
      <c r="AC45" s="166"/>
      <c r="AD45" s="169"/>
      <c r="AF45" s="166"/>
    </row>
    <row r="46" spans="19:37">
      <c r="S46" s="170"/>
      <c r="T46" s="166"/>
      <c r="U46" s="166"/>
      <c r="V46" s="166" t="s">
        <v>900</v>
      </c>
      <c r="W46" s="166" t="str">
        <f>W43</f>
        <v>#6</v>
      </c>
      <c r="X46" s="166" t="s">
        <v>903</v>
      </c>
      <c r="Y46" s="166" t="s">
        <v>12</v>
      </c>
      <c r="Z46" s="166" t="s">
        <v>12</v>
      </c>
      <c r="AA46" s="166" t="str">
        <f>CONCATENATE(V46,W46,X46,Y46,Z46)</f>
        <v xml:space="preserve"> 3-#6 CU  </v>
      </c>
      <c r="AB46" s="166"/>
      <c r="AC46" s="166"/>
      <c r="AD46" s="169"/>
      <c r="AF46" s="166"/>
    </row>
    <row r="47" spans="19:37">
      <c r="S47" s="170"/>
      <c r="T47" s="166"/>
      <c r="U47" s="166"/>
      <c r="V47" s="166" t="s">
        <v>901</v>
      </c>
      <c r="W47" s="166" t="str">
        <f>X43</f>
        <v>#6</v>
      </c>
      <c r="X47" s="166" t="s">
        <v>825</v>
      </c>
      <c r="Y47" s="166"/>
      <c r="Z47" s="166"/>
      <c r="AA47" s="166" t="str">
        <f>CONCATENATE(V47,W47,X47,Y47,Z47)</f>
        <v xml:space="preserve"> 1-#6 GND</v>
      </c>
      <c r="AB47" s="166"/>
      <c r="AC47" s="166"/>
      <c r="AD47" s="169"/>
      <c r="AK47" s="1"/>
    </row>
    <row r="48" spans="19:37">
      <c r="S48" s="636"/>
      <c r="T48" s="637"/>
      <c r="U48" s="637"/>
      <c r="V48" s="637"/>
      <c r="W48" s="637"/>
      <c r="X48" s="637"/>
      <c r="Y48" s="637"/>
      <c r="Z48" s="637"/>
      <c r="AA48" s="637"/>
      <c r="AB48" s="637"/>
      <c r="AC48" s="637"/>
      <c r="AD48" s="638"/>
    </row>
    <row r="52" spans="16:36">
      <c r="S52" s="166" t="s">
        <v>956</v>
      </c>
      <c r="T52" s="166"/>
      <c r="U52" s="166"/>
      <c r="V52" s="166"/>
      <c r="W52" s="166"/>
      <c r="X52" s="166"/>
      <c r="Y52" s="166"/>
      <c r="Z52" s="166"/>
      <c r="AA52" s="166"/>
      <c r="AB52" s="166"/>
      <c r="AC52" s="166"/>
    </row>
    <row r="53" spans="16:36">
      <c r="S53" s="634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4"/>
      <c r="AF53" s="24" t="s">
        <v>72</v>
      </c>
      <c r="AG53" s="1"/>
      <c r="AH53" s="1"/>
      <c r="AI53" s="1"/>
      <c r="AJ53" s="1"/>
    </row>
    <row r="54" spans="16:36">
      <c r="P54" s="229" t="s">
        <v>48</v>
      </c>
      <c r="Q54" s="229">
        <f>B6</f>
        <v>57.9</v>
      </c>
      <c r="S54" s="170"/>
      <c r="T54" s="629" t="s">
        <v>875</v>
      </c>
      <c r="U54" s="629" t="s">
        <v>30</v>
      </c>
      <c r="V54" s="58" t="s">
        <v>68</v>
      </c>
      <c r="W54" s="58" t="s">
        <v>68</v>
      </c>
      <c r="X54" s="58" t="s">
        <v>34</v>
      </c>
      <c r="Y54" s="639" t="str">
        <f>IF($Q$55=60,AG54,IF($Q$55=75,AH54,IF($Q$55=90,AI54)))</f>
        <v>75 C</v>
      </c>
      <c r="Z54" s="58" t="s">
        <v>68</v>
      </c>
      <c r="AA54" s="629" t="s">
        <v>875</v>
      </c>
      <c r="AB54" s="58" t="s">
        <v>886</v>
      </c>
      <c r="AC54" s="58" t="s">
        <v>179</v>
      </c>
      <c r="AD54" s="169"/>
      <c r="AF54" s="58" t="s">
        <v>68</v>
      </c>
      <c r="AG54" s="58" t="s">
        <v>69</v>
      </c>
      <c r="AH54" s="58" t="s">
        <v>70</v>
      </c>
      <c r="AI54" s="58" t="s">
        <v>71</v>
      </c>
    </row>
    <row r="55" spans="16:36">
      <c r="P55" s="229" t="s">
        <v>905</v>
      </c>
      <c r="Q55" s="229">
        <f>B7</f>
        <v>75</v>
      </c>
      <c r="S55" s="170"/>
      <c r="T55" s="631" t="s">
        <v>876</v>
      </c>
      <c r="U55" s="631"/>
      <c r="V55" s="62" t="s">
        <v>38</v>
      </c>
      <c r="W55" s="62" t="s">
        <v>38</v>
      </c>
      <c r="X55" s="62" t="s">
        <v>38</v>
      </c>
      <c r="Y55" s="62" t="s">
        <v>48</v>
      </c>
      <c r="Z55" s="62" t="s">
        <v>38</v>
      </c>
      <c r="AA55" s="631" t="s">
        <v>876</v>
      </c>
      <c r="AB55" s="62" t="s">
        <v>887</v>
      </c>
      <c r="AC55" s="62" t="s">
        <v>182</v>
      </c>
      <c r="AD55" s="169"/>
      <c r="AF55" s="62" t="s">
        <v>38</v>
      </c>
      <c r="AG55" s="62" t="s">
        <v>48</v>
      </c>
      <c r="AH55" s="62" t="s">
        <v>48</v>
      </c>
      <c r="AI55" s="62" t="s">
        <v>48</v>
      </c>
    </row>
    <row r="56" spans="16:36">
      <c r="S56" s="170"/>
      <c r="T56" s="633"/>
      <c r="U56" s="633"/>
      <c r="V56" s="62" t="s">
        <v>74</v>
      </c>
      <c r="W56" s="62"/>
      <c r="X56" s="62"/>
      <c r="Y56" s="62" t="s">
        <v>77</v>
      </c>
      <c r="Z56" s="62" t="s">
        <v>390</v>
      </c>
      <c r="AA56" s="633"/>
      <c r="AB56" s="57"/>
      <c r="AC56" s="57" t="s">
        <v>77</v>
      </c>
      <c r="AD56" s="169"/>
      <c r="AF56" s="62" t="s">
        <v>74</v>
      </c>
      <c r="AG56" s="62" t="s">
        <v>77</v>
      </c>
      <c r="AH56" s="62" t="s">
        <v>77</v>
      </c>
      <c r="AI56" s="62" t="s">
        <v>77</v>
      </c>
    </row>
    <row r="57" spans="16:36">
      <c r="S57" s="170"/>
      <c r="T57" s="629">
        <v>100</v>
      </c>
      <c r="U57" s="629">
        <v>0</v>
      </c>
      <c r="V57" s="628" t="s">
        <v>889</v>
      </c>
      <c r="W57" s="628" t="s">
        <v>76</v>
      </c>
      <c r="X57" s="628" t="s">
        <v>76</v>
      </c>
      <c r="Y57" s="639">
        <f t="shared" ref="Y57:Y66" si="6">IF($Q$55=60,AG57,IF($Q$55=75,AH57,IF($Q$55=90,AI57)))</f>
        <v>50</v>
      </c>
      <c r="Z57" s="629">
        <v>5</v>
      </c>
      <c r="AA57" s="629">
        <v>100</v>
      </c>
      <c r="AB57" s="629">
        <v>1482</v>
      </c>
      <c r="AC57" s="169">
        <v>0.80800000000000005</v>
      </c>
      <c r="AD57" s="169"/>
      <c r="AF57" s="58" t="s">
        <v>76</v>
      </c>
      <c r="AG57" s="58">
        <v>40</v>
      </c>
      <c r="AH57" s="58">
        <v>50</v>
      </c>
      <c r="AI57" s="58">
        <v>60</v>
      </c>
    </row>
    <row r="58" spans="16:36">
      <c r="S58" s="170"/>
      <c r="T58" s="631">
        <v>101</v>
      </c>
      <c r="U58" s="631">
        <f>Y57+0.0000001</f>
        <v>50.000000100000001</v>
      </c>
      <c r="V58" s="630" t="s">
        <v>890</v>
      </c>
      <c r="W58" s="630" t="s">
        <v>80</v>
      </c>
      <c r="X58" s="630" t="s">
        <v>76</v>
      </c>
      <c r="Y58" s="640">
        <f t="shared" si="6"/>
        <v>65</v>
      </c>
      <c r="Z58" s="631">
        <v>6</v>
      </c>
      <c r="AA58" s="631">
        <v>101</v>
      </c>
      <c r="AB58" s="631">
        <v>2353</v>
      </c>
      <c r="AC58" s="169">
        <v>0.50800000000000001</v>
      </c>
      <c r="AD58" s="169"/>
      <c r="AF58" s="62" t="s">
        <v>80</v>
      </c>
      <c r="AG58" s="62">
        <v>55</v>
      </c>
      <c r="AH58" s="62">
        <v>65</v>
      </c>
      <c r="AI58" s="62">
        <v>75</v>
      </c>
    </row>
    <row r="59" spans="16:36">
      <c r="S59" s="170"/>
      <c r="T59" s="631">
        <v>102</v>
      </c>
      <c r="U59" s="631">
        <f t="shared" ref="U59:U67" si="7">Y58+0.0000001</f>
        <v>65.000000099999994</v>
      </c>
      <c r="V59" s="630" t="s">
        <v>891</v>
      </c>
      <c r="W59" s="630" t="s">
        <v>83</v>
      </c>
      <c r="X59" s="630" t="s">
        <v>80</v>
      </c>
      <c r="Y59" s="640">
        <f t="shared" si="6"/>
        <v>90</v>
      </c>
      <c r="Z59" s="631">
        <v>8</v>
      </c>
      <c r="AA59" s="631">
        <v>102</v>
      </c>
      <c r="AB59" s="631">
        <v>3740</v>
      </c>
      <c r="AC59" s="169">
        <v>0.31900000000000001</v>
      </c>
      <c r="AD59" s="169"/>
      <c r="AF59" s="62" t="s">
        <v>83</v>
      </c>
      <c r="AG59" s="62">
        <v>75</v>
      </c>
      <c r="AH59" s="62">
        <v>90</v>
      </c>
      <c r="AI59" s="62">
        <v>100</v>
      </c>
    </row>
    <row r="60" spans="16:36">
      <c r="S60" s="170"/>
      <c r="T60" s="631">
        <v>103</v>
      </c>
      <c r="U60" s="631">
        <f t="shared" si="7"/>
        <v>90.000000099999994</v>
      </c>
      <c r="V60" s="630" t="s">
        <v>892</v>
      </c>
      <c r="W60" s="630" t="s">
        <v>87</v>
      </c>
      <c r="X60" s="630" t="s">
        <v>84</v>
      </c>
      <c r="Y60" s="640">
        <f t="shared" si="6"/>
        <v>100</v>
      </c>
      <c r="Z60" s="631">
        <v>9</v>
      </c>
      <c r="AA60" s="631">
        <v>103</v>
      </c>
      <c r="AB60" s="631">
        <v>4699</v>
      </c>
      <c r="AC60" s="169">
        <v>0.253</v>
      </c>
      <c r="AD60" s="169"/>
      <c r="AF60" s="62" t="s">
        <v>87</v>
      </c>
      <c r="AG60" s="62">
        <v>85</v>
      </c>
      <c r="AH60" s="62">
        <v>100</v>
      </c>
      <c r="AI60" s="62">
        <v>115</v>
      </c>
    </row>
    <row r="61" spans="16:36">
      <c r="S61" s="170"/>
      <c r="T61" s="631">
        <v>104</v>
      </c>
      <c r="U61" s="631">
        <f t="shared" si="7"/>
        <v>100.00000009999999</v>
      </c>
      <c r="V61" s="630" t="s">
        <v>893</v>
      </c>
      <c r="W61" s="630" t="s">
        <v>93</v>
      </c>
      <c r="X61" s="630" t="s">
        <v>83</v>
      </c>
      <c r="Y61" s="640">
        <f t="shared" si="6"/>
        <v>120</v>
      </c>
      <c r="Z61" s="631">
        <v>10</v>
      </c>
      <c r="AA61" s="631">
        <v>104</v>
      </c>
      <c r="AB61" s="631">
        <v>5876</v>
      </c>
      <c r="AC61" s="169">
        <v>0.20100000000000001</v>
      </c>
      <c r="AD61" s="169"/>
      <c r="AF61" s="62" t="s">
        <v>93</v>
      </c>
      <c r="AG61" s="62">
        <v>100</v>
      </c>
      <c r="AH61" s="62">
        <v>120</v>
      </c>
      <c r="AI61" s="62">
        <v>135</v>
      </c>
    </row>
    <row r="62" spans="16:36">
      <c r="S62" s="170"/>
      <c r="T62" s="631">
        <v>105</v>
      </c>
      <c r="U62" s="631">
        <f t="shared" si="7"/>
        <v>120.00000009999999</v>
      </c>
      <c r="V62" s="630" t="s">
        <v>894</v>
      </c>
      <c r="W62" s="630" t="s">
        <v>97</v>
      </c>
      <c r="X62" s="630" t="s">
        <v>87</v>
      </c>
      <c r="Y62" s="640">
        <f t="shared" si="6"/>
        <v>135</v>
      </c>
      <c r="Z62" s="631">
        <v>11</v>
      </c>
      <c r="AA62" s="631">
        <v>105</v>
      </c>
      <c r="AB62" s="631">
        <v>7373</v>
      </c>
      <c r="AC62" s="169">
        <v>0.159</v>
      </c>
      <c r="AD62" s="169"/>
      <c r="AF62" s="62" t="s">
        <v>97</v>
      </c>
      <c r="AG62" s="62">
        <v>115</v>
      </c>
      <c r="AH62" s="62">
        <v>135</v>
      </c>
      <c r="AI62" s="62">
        <v>150</v>
      </c>
    </row>
    <row r="63" spans="16:36">
      <c r="S63" s="170"/>
      <c r="T63" s="631">
        <v>106</v>
      </c>
      <c r="U63" s="631">
        <f t="shared" si="7"/>
        <v>135.00000009999999</v>
      </c>
      <c r="V63" s="630" t="s">
        <v>895</v>
      </c>
      <c r="W63" s="630" t="s">
        <v>101</v>
      </c>
      <c r="X63" s="630" t="s">
        <v>93</v>
      </c>
      <c r="Y63" s="640">
        <f t="shared" si="6"/>
        <v>155</v>
      </c>
      <c r="Z63" s="631">
        <v>12</v>
      </c>
      <c r="AA63" s="631">
        <v>106</v>
      </c>
      <c r="AB63" s="631">
        <v>9243</v>
      </c>
      <c r="AC63" s="169">
        <v>0.126</v>
      </c>
      <c r="AD63" s="169"/>
      <c r="AF63" s="62" t="s">
        <v>101</v>
      </c>
      <c r="AG63" s="62">
        <v>130</v>
      </c>
      <c r="AH63" s="62">
        <v>155</v>
      </c>
      <c r="AI63" s="62">
        <v>175</v>
      </c>
    </row>
    <row r="64" spans="16:36">
      <c r="S64" s="170"/>
      <c r="T64" s="631">
        <v>107</v>
      </c>
      <c r="U64" s="631">
        <f t="shared" si="7"/>
        <v>155.00000009999999</v>
      </c>
      <c r="V64" s="630" t="s">
        <v>896</v>
      </c>
      <c r="W64" s="630" t="s">
        <v>103</v>
      </c>
      <c r="X64" s="630" t="s">
        <v>97</v>
      </c>
      <c r="Y64" s="640">
        <f t="shared" si="6"/>
        <v>180</v>
      </c>
      <c r="Z64" s="631">
        <v>13</v>
      </c>
      <c r="AA64" s="631">
        <v>107</v>
      </c>
      <c r="AB64" s="631">
        <v>11409</v>
      </c>
      <c r="AC64" s="169">
        <v>0.1</v>
      </c>
      <c r="AD64" s="169"/>
      <c r="AF64" s="62" t="s">
        <v>103</v>
      </c>
      <c r="AG64" s="62">
        <v>150</v>
      </c>
      <c r="AH64" s="62">
        <v>180</v>
      </c>
      <c r="AI64" s="62">
        <v>205</v>
      </c>
    </row>
    <row r="65" spans="19:36">
      <c r="S65" s="170"/>
      <c r="T65" s="631">
        <v>108</v>
      </c>
      <c r="U65" s="631">
        <f t="shared" si="7"/>
        <v>180.00000009999999</v>
      </c>
      <c r="V65" s="630" t="s">
        <v>897</v>
      </c>
      <c r="W65" s="630" t="s">
        <v>106</v>
      </c>
      <c r="X65" s="630" t="s">
        <v>101</v>
      </c>
      <c r="Y65" s="640">
        <f t="shared" si="6"/>
        <v>205</v>
      </c>
      <c r="Z65" s="631">
        <v>14</v>
      </c>
      <c r="AA65" s="631">
        <v>108</v>
      </c>
      <c r="AB65" s="631">
        <v>13236</v>
      </c>
      <c r="AC65" s="169">
        <v>8.4699999999999998E-2</v>
      </c>
      <c r="AD65" s="169"/>
      <c r="AF65" s="62" t="s">
        <v>106</v>
      </c>
      <c r="AG65" s="62">
        <v>170</v>
      </c>
      <c r="AH65" s="62">
        <v>205</v>
      </c>
      <c r="AI65" s="62">
        <v>230</v>
      </c>
    </row>
    <row r="66" spans="19:36">
      <c r="S66" s="170"/>
      <c r="T66" s="631">
        <v>109</v>
      </c>
      <c r="U66" s="631">
        <f t="shared" si="7"/>
        <v>205.00000009999999</v>
      </c>
      <c r="V66" s="630" t="s">
        <v>898</v>
      </c>
      <c r="W66" s="630" t="s">
        <v>109</v>
      </c>
      <c r="X66" s="630" t="s">
        <v>103</v>
      </c>
      <c r="Y66" s="640">
        <f t="shared" si="6"/>
        <v>230</v>
      </c>
      <c r="Z66" s="631">
        <v>15</v>
      </c>
      <c r="AA66" s="631">
        <v>109</v>
      </c>
      <c r="AB66" s="631">
        <v>15495</v>
      </c>
      <c r="AC66" s="169">
        <v>7.0699999999999999E-2</v>
      </c>
      <c r="AD66" s="169"/>
      <c r="AF66" s="57" t="s">
        <v>109</v>
      </c>
      <c r="AG66" s="57">
        <v>190</v>
      </c>
      <c r="AH66" s="57">
        <v>230</v>
      </c>
      <c r="AI66" s="57">
        <v>255</v>
      </c>
    </row>
    <row r="67" spans="19:36">
      <c r="S67" s="170"/>
      <c r="T67" s="633">
        <v>110</v>
      </c>
      <c r="U67" s="633">
        <f t="shared" si="7"/>
        <v>230.00000009999999</v>
      </c>
      <c r="V67" s="632" t="s">
        <v>877</v>
      </c>
      <c r="W67" s="632" t="s">
        <v>877</v>
      </c>
      <c r="X67" s="632" t="s">
        <v>877</v>
      </c>
      <c r="Y67" s="641">
        <f>Y66</f>
        <v>230</v>
      </c>
      <c r="Z67" s="633" t="s">
        <v>877</v>
      </c>
      <c r="AA67" s="633">
        <v>110</v>
      </c>
      <c r="AB67" s="642" t="s">
        <v>877</v>
      </c>
      <c r="AC67" s="642" t="s">
        <v>877</v>
      </c>
      <c r="AD67" s="169"/>
    </row>
    <row r="68" spans="19:36">
      <c r="S68" s="170"/>
      <c r="T68" s="166"/>
      <c r="U68" s="166"/>
      <c r="V68" s="635"/>
      <c r="W68" s="635"/>
      <c r="X68" s="635"/>
      <c r="Y68" s="166"/>
      <c r="Z68" s="166"/>
      <c r="AA68" s="166"/>
      <c r="AB68" s="166"/>
      <c r="AC68" s="166"/>
      <c r="AD68" s="169"/>
    </row>
    <row r="69" spans="19:36">
      <c r="S69" s="170"/>
      <c r="T69" s="166">
        <f>VLOOKUP(AA69,T57:AA67,1)</f>
        <v>101</v>
      </c>
      <c r="U69" s="166"/>
      <c r="V69" s="166" t="str">
        <f>VLOOKUP(Q54,U57:AB67,2)</f>
        <v>4-4-4-4-6</v>
      </c>
      <c r="W69" s="166" t="str">
        <f>VLOOKUP(Q54,U57:AB67,3)</f>
        <v>#4</v>
      </c>
      <c r="X69" s="166" t="str">
        <f>VLOOKUP(Q54,U57:AB67,4)</f>
        <v>#6</v>
      </c>
      <c r="Y69" s="166">
        <f>VLOOKUP(Q54,U57:AB67,5)</f>
        <v>65</v>
      </c>
      <c r="Z69" s="166">
        <f>VLOOKUP(Q54,U57:AB67,6)</f>
        <v>6</v>
      </c>
      <c r="AA69" s="166">
        <f>VLOOKUP(Q54,U57:AB67,7)</f>
        <v>101</v>
      </c>
      <c r="AB69" s="166">
        <f>VLOOKUP(Q54,U57:AB67,8)</f>
        <v>2353</v>
      </c>
      <c r="AC69" s="166">
        <f>VLOOKUP(Q54,U57:AC67,9)</f>
        <v>0.50800000000000001</v>
      </c>
      <c r="AD69" s="169"/>
    </row>
    <row r="70" spans="19:36">
      <c r="S70" s="170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9"/>
    </row>
    <row r="71" spans="19:36">
      <c r="S71" s="170"/>
      <c r="T71" s="166"/>
      <c r="U71" s="166"/>
      <c r="V71" s="166" t="s">
        <v>899</v>
      </c>
      <c r="W71" s="166"/>
      <c r="X71" s="166"/>
      <c r="Y71" s="166"/>
      <c r="Z71" s="166"/>
      <c r="AA71" s="166" t="str">
        <f>CONCATENATE(V71,W71,X71,Y71)</f>
        <v xml:space="preserve"> SER CABLE</v>
      </c>
      <c r="AB71" s="166"/>
      <c r="AC71" s="166"/>
      <c r="AD71" s="169"/>
    </row>
    <row r="72" spans="19:36">
      <c r="S72" s="170"/>
      <c r="T72" s="166"/>
      <c r="U72" s="166"/>
      <c r="V72" s="166" t="s">
        <v>917</v>
      </c>
      <c r="W72" s="166" t="str">
        <f>W69</f>
        <v>#4</v>
      </c>
      <c r="X72" s="166" t="s">
        <v>641</v>
      </c>
      <c r="Y72" s="166" t="s">
        <v>12</v>
      </c>
      <c r="Z72" s="166" t="s">
        <v>12</v>
      </c>
      <c r="AA72" s="166" t="str">
        <f>CONCATENATE(V72,W72,X72,Y72,Z72)</f>
        <v xml:space="preserve"> 4-#4 AL  </v>
      </c>
      <c r="AB72" s="166"/>
      <c r="AC72" s="166"/>
      <c r="AD72" s="169"/>
    </row>
    <row r="73" spans="19:36">
      <c r="S73" s="170"/>
      <c r="T73" s="166"/>
      <c r="U73" s="166"/>
      <c r="V73" s="166" t="s">
        <v>901</v>
      </c>
      <c r="W73" s="166" t="str">
        <f>X69</f>
        <v>#6</v>
      </c>
      <c r="X73" s="166" t="s">
        <v>825</v>
      </c>
      <c r="Y73" s="166"/>
      <c r="Z73" s="166"/>
      <c r="AA73" s="166" t="str">
        <f>CONCATENATE(V73,W73,X73,Y73,Z73)</f>
        <v xml:space="preserve"> 1-#6 GND</v>
      </c>
      <c r="AB73" s="166"/>
      <c r="AC73" s="166"/>
      <c r="AD73" s="169"/>
    </row>
    <row r="74" spans="19:36">
      <c r="S74" s="636"/>
      <c r="T74" s="637"/>
      <c r="U74" s="637"/>
      <c r="V74" s="637"/>
      <c r="W74" s="637"/>
      <c r="X74" s="637"/>
      <c r="Y74" s="637"/>
      <c r="Z74" s="637"/>
      <c r="AA74" s="637"/>
      <c r="AB74" s="637"/>
      <c r="AC74" s="637"/>
      <c r="AD74" s="638"/>
    </row>
    <row r="79" spans="19:36">
      <c r="AJ79" s="1"/>
    </row>
    <row r="80" spans="19:36">
      <c r="S80" s="166" t="s">
        <v>946</v>
      </c>
      <c r="T80" s="166"/>
      <c r="U80" s="166"/>
      <c r="V80" s="166"/>
      <c r="W80" s="166"/>
      <c r="X80" s="166"/>
      <c r="Y80" s="166"/>
      <c r="Z80" s="166"/>
      <c r="AA80" s="166"/>
      <c r="AB80" s="166"/>
      <c r="AC80" s="166"/>
    </row>
    <row r="81" spans="16:35">
      <c r="S81" s="634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4"/>
      <c r="AF81" s="24" t="s">
        <v>72</v>
      </c>
      <c r="AG81" s="1"/>
      <c r="AH81" s="1"/>
      <c r="AI81" s="1"/>
    </row>
    <row r="82" spans="16:35">
      <c r="P82" s="229" t="s">
        <v>48</v>
      </c>
      <c r="Q82" s="229">
        <f>B6</f>
        <v>57.9</v>
      </c>
      <c r="S82" s="170"/>
      <c r="T82" s="629" t="s">
        <v>875</v>
      </c>
      <c r="U82" s="629" t="s">
        <v>30</v>
      </c>
      <c r="V82" s="58" t="s">
        <v>68</v>
      </c>
      <c r="W82" s="58" t="s">
        <v>68</v>
      </c>
      <c r="X82" s="58" t="s">
        <v>34</v>
      </c>
      <c r="Y82" s="639" t="str">
        <f>IF($Q$83=60,AG82,IF($Q$83=75,AH82,IF($Q$83=90,AI82)))</f>
        <v>75 C</v>
      </c>
      <c r="Z82" s="58" t="s">
        <v>68</v>
      </c>
      <c r="AA82" s="629" t="s">
        <v>875</v>
      </c>
      <c r="AB82" s="58" t="s">
        <v>886</v>
      </c>
      <c r="AC82" s="58" t="s">
        <v>179</v>
      </c>
      <c r="AD82" s="169"/>
      <c r="AF82" s="58" t="s">
        <v>68</v>
      </c>
      <c r="AG82" s="58" t="s">
        <v>69</v>
      </c>
      <c r="AH82" s="58" t="s">
        <v>70</v>
      </c>
      <c r="AI82" s="58" t="s">
        <v>71</v>
      </c>
    </row>
    <row r="83" spans="16:35">
      <c r="P83" s="229" t="s">
        <v>905</v>
      </c>
      <c r="Q83" s="229">
        <f>B7</f>
        <v>75</v>
      </c>
      <c r="S83" s="170"/>
      <c r="T83" s="631" t="s">
        <v>876</v>
      </c>
      <c r="U83" s="631"/>
      <c r="V83" s="62" t="s">
        <v>38</v>
      </c>
      <c r="W83" s="62" t="s">
        <v>38</v>
      </c>
      <c r="X83" s="62" t="s">
        <v>38</v>
      </c>
      <c r="Y83" s="62" t="s">
        <v>48</v>
      </c>
      <c r="Z83" s="62" t="s">
        <v>38</v>
      </c>
      <c r="AA83" s="631" t="s">
        <v>876</v>
      </c>
      <c r="AB83" s="62" t="s">
        <v>887</v>
      </c>
      <c r="AC83" s="62" t="s">
        <v>182</v>
      </c>
      <c r="AD83" s="169"/>
      <c r="AF83" s="62" t="s">
        <v>38</v>
      </c>
      <c r="AG83" s="62" t="s">
        <v>48</v>
      </c>
      <c r="AH83" s="62" t="s">
        <v>48</v>
      </c>
      <c r="AI83" s="62" t="s">
        <v>48</v>
      </c>
    </row>
    <row r="84" spans="16:35">
      <c r="S84" s="170"/>
      <c r="T84" s="633"/>
      <c r="U84" s="633"/>
      <c r="V84" s="62" t="s">
        <v>74</v>
      </c>
      <c r="W84" s="62"/>
      <c r="X84" s="62"/>
      <c r="Y84" s="62" t="s">
        <v>77</v>
      </c>
      <c r="Z84" s="62" t="s">
        <v>390</v>
      </c>
      <c r="AA84" s="633"/>
      <c r="AB84" s="57"/>
      <c r="AC84" s="57" t="s">
        <v>60</v>
      </c>
      <c r="AD84" s="169"/>
      <c r="AF84" s="62" t="s">
        <v>74</v>
      </c>
      <c r="AG84" s="62" t="s">
        <v>60</v>
      </c>
      <c r="AH84" s="62" t="s">
        <v>60</v>
      </c>
      <c r="AI84" s="62" t="s">
        <v>60</v>
      </c>
    </row>
    <row r="85" spans="16:35">
      <c r="S85" s="170"/>
      <c r="T85" s="629">
        <v>100</v>
      </c>
      <c r="U85" s="629">
        <v>0</v>
      </c>
      <c r="V85" s="628" t="s">
        <v>878</v>
      </c>
      <c r="W85" s="628" t="s">
        <v>76</v>
      </c>
      <c r="X85" s="628" t="s">
        <v>169</v>
      </c>
      <c r="Y85" s="639">
        <f>IF($Q$83=60,AG85,IF($Q$83=75,AH85,IF($Q$83=90,AI85)))</f>
        <v>65</v>
      </c>
      <c r="Z85" s="629">
        <v>5</v>
      </c>
      <c r="AA85" s="629">
        <v>100</v>
      </c>
      <c r="AB85" s="629">
        <v>2433</v>
      </c>
      <c r="AC85" s="169">
        <v>0.49099999999999999</v>
      </c>
      <c r="AD85" s="169"/>
      <c r="AF85" s="58" t="s">
        <v>76</v>
      </c>
      <c r="AG85" s="58">
        <v>55</v>
      </c>
      <c r="AH85" s="58">
        <v>65</v>
      </c>
      <c r="AI85" s="58">
        <v>75</v>
      </c>
    </row>
    <row r="86" spans="16:35">
      <c r="S86" s="170"/>
      <c r="T86" s="631">
        <v>101</v>
      </c>
      <c r="U86" s="631">
        <f>Y85+0.0000001</f>
        <v>65.000000099999994</v>
      </c>
      <c r="V86" s="630" t="s">
        <v>906</v>
      </c>
      <c r="W86" s="630" t="s">
        <v>80</v>
      </c>
      <c r="X86" s="630" t="s">
        <v>173</v>
      </c>
      <c r="Y86" s="640">
        <f>IF($Q$83=60,AG86,IF($Q$83=75,AH86,IF($Q$83=90,AI86)))</f>
        <v>85</v>
      </c>
      <c r="Z86" s="631">
        <v>6</v>
      </c>
      <c r="AA86" s="631">
        <v>101</v>
      </c>
      <c r="AB86" s="631">
        <v>3838</v>
      </c>
      <c r="AC86" s="169">
        <v>0.308</v>
      </c>
      <c r="AD86" s="169"/>
      <c r="AF86" s="62" t="s">
        <v>80</v>
      </c>
      <c r="AG86" s="62">
        <v>70</v>
      </c>
      <c r="AH86" s="62">
        <v>85</v>
      </c>
      <c r="AI86" s="62">
        <v>95</v>
      </c>
    </row>
    <row r="87" spans="16:35">
      <c r="S87" s="170"/>
      <c r="T87" s="631">
        <v>102</v>
      </c>
      <c r="U87" s="631">
        <f>Y86+0.0000001</f>
        <v>85.000000099999994</v>
      </c>
      <c r="V87" s="630" t="s">
        <v>907</v>
      </c>
      <c r="W87" s="630" t="s">
        <v>83</v>
      </c>
      <c r="X87" s="630" t="s">
        <v>173</v>
      </c>
      <c r="Y87" s="640">
        <f>IF($Q$83=60,AG87,IF($Q$83=75,AH87,IF($Q$83=90,AI87)))</f>
        <v>115</v>
      </c>
      <c r="Z87" s="631">
        <v>7</v>
      </c>
      <c r="AA87" s="631">
        <v>102</v>
      </c>
      <c r="AB87" s="631">
        <v>4833</v>
      </c>
      <c r="AC87" s="169">
        <v>0.19400000000000001</v>
      </c>
      <c r="AD87" s="169"/>
      <c r="AF87" s="57" t="s">
        <v>83</v>
      </c>
      <c r="AG87" s="57">
        <v>95</v>
      </c>
      <c r="AH87" s="57">
        <v>115</v>
      </c>
      <c r="AI87" s="57">
        <v>130</v>
      </c>
    </row>
    <row r="88" spans="16:35">
      <c r="S88" s="170"/>
      <c r="T88" s="633">
        <v>103</v>
      </c>
      <c r="U88" s="633">
        <f>Y87+0.0000001</f>
        <v>115.00000009999999</v>
      </c>
      <c r="V88" s="632" t="s">
        <v>877</v>
      </c>
      <c r="W88" s="632" t="s">
        <v>877</v>
      </c>
      <c r="X88" s="632" t="s">
        <v>877</v>
      </c>
      <c r="Y88" s="641">
        <f>Y87</f>
        <v>115</v>
      </c>
      <c r="Z88" s="633" t="s">
        <v>877</v>
      </c>
      <c r="AA88" s="633">
        <v>103</v>
      </c>
      <c r="AB88" s="642" t="s">
        <v>877</v>
      </c>
      <c r="AC88" s="642" t="s">
        <v>877</v>
      </c>
      <c r="AD88" s="169"/>
    </row>
    <row r="89" spans="16:35">
      <c r="S89" s="170"/>
      <c r="T89" s="166"/>
      <c r="U89" s="166"/>
      <c r="V89" s="635"/>
      <c r="W89" s="635"/>
      <c r="X89" s="635"/>
      <c r="Y89" s="166"/>
      <c r="Z89" s="166"/>
      <c r="AA89" s="166"/>
      <c r="AB89" s="166"/>
      <c r="AC89" s="166"/>
      <c r="AD89" s="169"/>
    </row>
    <row r="90" spans="16:35">
      <c r="S90" s="170"/>
      <c r="T90" s="166">
        <f>VLOOKUP(AA90,T85:AA88,1)</f>
        <v>100</v>
      </c>
      <c r="U90" s="166"/>
      <c r="V90" s="166" t="str">
        <f>VLOOKUP(Q82,U85:AB88,2)</f>
        <v>6-6-6-6</v>
      </c>
      <c r="W90" s="166" t="str">
        <f>VLOOKUP(Q82,U85:AB88,3)</f>
        <v>#6</v>
      </c>
      <c r="X90" s="166" t="str">
        <f>VLOOKUP(Q82,U85:AB88,4)</f>
        <v>#10</v>
      </c>
      <c r="Y90" s="166">
        <f>VLOOKUP(Q82,U85:AB88,5)</f>
        <v>65</v>
      </c>
      <c r="Z90" s="166">
        <f>VLOOKUP(Q82,U85:AB88,6)</f>
        <v>5</v>
      </c>
      <c r="AA90" s="166">
        <f>VLOOKUP(Q82,U85:AB88,7)</f>
        <v>100</v>
      </c>
      <c r="AB90" s="166">
        <f>VLOOKUP(Q82,U85:AB88,8)</f>
        <v>2433</v>
      </c>
      <c r="AC90" s="166">
        <f>VLOOKUP(Q82,U85:AC88,9)</f>
        <v>0.49099999999999999</v>
      </c>
      <c r="AD90" s="169"/>
    </row>
    <row r="91" spans="16:35">
      <c r="S91" s="170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9"/>
    </row>
    <row r="92" spans="16:35">
      <c r="S92" s="170"/>
      <c r="T92" s="166"/>
      <c r="U92" s="166"/>
      <c r="V92" s="166" t="s">
        <v>961</v>
      </c>
      <c r="W92" s="166"/>
      <c r="X92" s="166"/>
      <c r="Y92" s="166"/>
      <c r="Z92" s="166"/>
      <c r="AA92" s="166" t="str">
        <f>CONCATENATE(V92,W92,X92,Y92)</f>
        <v xml:space="preserve"> ROMEX</v>
      </c>
      <c r="AB92" s="166"/>
      <c r="AC92" s="166"/>
      <c r="AD92" s="169"/>
    </row>
    <row r="93" spans="16:35">
      <c r="S93" s="170"/>
      <c r="T93" s="166"/>
      <c r="U93" s="166"/>
      <c r="V93" s="166" t="s">
        <v>900</v>
      </c>
      <c r="W93" s="166" t="str">
        <f>W90</f>
        <v>#6</v>
      </c>
      <c r="X93" s="166" t="s">
        <v>903</v>
      </c>
      <c r="Y93" s="166" t="s">
        <v>12</v>
      </c>
      <c r="Z93" s="166" t="s">
        <v>12</v>
      </c>
      <c r="AA93" s="166" t="str">
        <f>CONCATENATE(V93,W93,X93,Y93,Z93)</f>
        <v xml:space="preserve"> 3-#6 CU  </v>
      </c>
      <c r="AB93" s="166"/>
      <c r="AC93" s="166"/>
      <c r="AD93" s="169"/>
    </row>
    <row r="94" spans="16:35">
      <c r="S94" s="170"/>
      <c r="T94" s="166"/>
      <c r="U94" s="166"/>
      <c r="V94" s="166" t="s">
        <v>901</v>
      </c>
      <c r="W94" s="166" t="str">
        <f>X90</f>
        <v>#10</v>
      </c>
      <c r="X94" s="166" t="s">
        <v>825</v>
      </c>
      <c r="Y94" s="166"/>
      <c r="Z94" s="166"/>
      <c r="AA94" s="166" t="str">
        <f>CONCATENATE(V94,W94,X94,Y94,Z94)</f>
        <v xml:space="preserve"> 1-#10 GND</v>
      </c>
      <c r="AB94" s="166"/>
      <c r="AC94" s="166"/>
      <c r="AD94" s="169"/>
    </row>
    <row r="95" spans="16:35">
      <c r="S95" s="636"/>
      <c r="T95" s="637"/>
      <c r="U95" s="637"/>
      <c r="V95" s="637"/>
      <c r="W95" s="637"/>
      <c r="X95" s="637"/>
      <c r="Y95" s="637"/>
      <c r="Z95" s="637"/>
      <c r="AA95" s="637"/>
      <c r="AB95" s="637"/>
      <c r="AC95" s="637"/>
      <c r="AD95" s="638"/>
    </row>
    <row r="97" spans="16:36">
      <c r="X97" s="166"/>
    </row>
    <row r="98" spans="16:36">
      <c r="X98" s="166"/>
    </row>
    <row r="99" spans="16:36">
      <c r="X99" s="167"/>
      <c r="AJ99" s="1"/>
    </row>
    <row r="100" spans="16:36">
      <c r="S100" s="166" t="s">
        <v>908</v>
      </c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</row>
    <row r="101" spans="16:36">
      <c r="S101" s="634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4"/>
      <c r="AF101" s="24" t="s">
        <v>72</v>
      </c>
      <c r="AG101" s="1"/>
      <c r="AH101" s="1"/>
      <c r="AI101" s="1"/>
    </row>
    <row r="102" spans="16:36">
      <c r="P102" s="229" t="s">
        <v>48</v>
      </c>
      <c r="Q102" s="229">
        <f>B6</f>
        <v>57.9</v>
      </c>
      <c r="S102" s="170"/>
      <c r="T102" s="629" t="s">
        <v>875</v>
      </c>
      <c r="U102" s="629" t="s">
        <v>30</v>
      </c>
      <c r="V102" s="58" t="s">
        <v>68</v>
      </c>
      <c r="W102" s="58" t="s">
        <v>68</v>
      </c>
      <c r="X102" s="58" t="s">
        <v>34</v>
      </c>
      <c r="Y102" s="639" t="str">
        <f>IF($Q$103=60,AG102,IF($Q$103=75,AH102,IF($Q$103=90,AI102)))</f>
        <v>75 C</v>
      </c>
      <c r="Z102" s="58" t="s">
        <v>68</v>
      </c>
      <c r="AA102" s="629" t="s">
        <v>875</v>
      </c>
      <c r="AB102" s="58" t="s">
        <v>886</v>
      </c>
      <c r="AC102" s="58" t="s">
        <v>179</v>
      </c>
      <c r="AD102" s="169"/>
      <c r="AF102" s="58" t="s">
        <v>68</v>
      </c>
      <c r="AG102" s="58" t="s">
        <v>69</v>
      </c>
      <c r="AH102" s="58" t="s">
        <v>70</v>
      </c>
      <c r="AI102" s="58" t="s">
        <v>71</v>
      </c>
    </row>
    <row r="103" spans="16:36">
      <c r="P103" s="229" t="s">
        <v>905</v>
      </c>
      <c r="Q103" s="229">
        <f>B7</f>
        <v>75</v>
      </c>
      <c r="S103" s="170"/>
      <c r="T103" s="631" t="s">
        <v>876</v>
      </c>
      <c r="U103" s="631"/>
      <c r="V103" s="62" t="s">
        <v>38</v>
      </c>
      <c r="W103" s="62" t="s">
        <v>38</v>
      </c>
      <c r="X103" s="62" t="s">
        <v>38</v>
      </c>
      <c r="Y103" s="62" t="s">
        <v>48</v>
      </c>
      <c r="Z103" s="62" t="s">
        <v>38</v>
      </c>
      <c r="AA103" s="631" t="s">
        <v>876</v>
      </c>
      <c r="AB103" s="62" t="s">
        <v>887</v>
      </c>
      <c r="AC103" s="62" t="s">
        <v>182</v>
      </c>
      <c r="AD103" s="169"/>
      <c r="AF103" s="62" t="s">
        <v>38</v>
      </c>
      <c r="AG103" s="62" t="s">
        <v>48</v>
      </c>
      <c r="AH103" s="62" t="s">
        <v>48</v>
      </c>
      <c r="AI103" s="62" t="s">
        <v>48</v>
      </c>
    </row>
    <row r="104" spans="16:36">
      <c r="S104" s="170"/>
      <c r="T104" s="633"/>
      <c r="U104" s="633"/>
      <c r="V104" s="62" t="s">
        <v>74</v>
      </c>
      <c r="W104" s="62"/>
      <c r="X104" s="62"/>
      <c r="Y104" s="62" t="s">
        <v>77</v>
      </c>
      <c r="Z104" s="62" t="s">
        <v>390</v>
      </c>
      <c r="AA104" s="633"/>
      <c r="AB104" s="57"/>
      <c r="AC104" s="57" t="s">
        <v>77</v>
      </c>
      <c r="AD104" s="169"/>
      <c r="AF104" s="62" t="s">
        <v>74</v>
      </c>
      <c r="AG104" s="62" t="s">
        <v>77</v>
      </c>
      <c r="AH104" s="62" t="s">
        <v>77</v>
      </c>
      <c r="AI104" s="62" t="s">
        <v>77</v>
      </c>
    </row>
    <row r="105" spans="16:36">
      <c r="S105" s="170"/>
      <c r="T105" s="629">
        <v>100</v>
      </c>
      <c r="U105" s="629">
        <v>0</v>
      </c>
      <c r="V105" s="628" t="s">
        <v>878</v>
      </c>
      <c r="W105" s="628" t="s">
        <v>76</v>
      </c>
      <c r="X105" s="628" t="s">
        <v>76</v>
      </c>
      <c r="Y105" s="639">
        <f t="shared" ref="Y105:Y114" si="8">IF($Q$103=60,AG105,IF($Q$103=75,AH105,IF($Q$103=90,AI105)))</f>
        <v>50</v>
      </c>
      <c r="Z105" s="629">
        <v>5</v>
      </c>
      <c r="AA105" s="629">
        <v>100</v>
      </c>
      <c r="AB105" s="629">
        <v>1482</v>
      </c>
      <c r="AC105" s="169">
        <v>0.80800000000000005</v>
      </c>
      <c r="AD105" s="169"/>
      <c r="AF105" s="58" t="s">
        <v>76</v>
      </c>
      <c r="AG105" s="58">
        <v>40</v>
      </c>
      <c r="AH105" s="58">
        <v>50</v>
      </c>
      <c r="AI105" s="58">
        <v>60</v>
      </c>
    </row>
    <row r="106" spans="16:36">
      <c r="S106" s="170"/>
      <c r="T106" s="631">
        <v>101</v>
      </c>
      <c r="U106" s="631">
        <f>Y105+0.0000001</f>
        <v>50.000000100000001</v>
      </c>
      <c r="V106" s="630" t="s">
        <v>879</v>
      </c>
      <c r="W106" s="630" t="s">
        <v>80</v>
      </c>
      <c r="X106" s="630" t="s">
        <v>76</v>
      </c>
      <c r="Y106" s="640">
        <f t="shared" si="8"/>
        <v>65</v>
      </c>
      <c r="Z106" s="631">
        <v>6</v>
      </c>
      <c r="AA106" s="631">
        <v>101</v>
      </c>
      <c r="AB106" s="631">
        <v>2353</v>
      </c>
      <c r="AC106" s="169">
        <v>0.50800000000000001</v>
      </c>
      <c r="AD106" s="169"/>
      <c r="AF106" s="62" t="s">
        <v>80</v>
      </c>
      <c r="AG106" s="62">
        <v>55</v>
      </c>
      <c r="AH106" s="62">
        <v>65</v>
      </c>
      <c r="AI106" s="62">
        <v>75</v>
      </c>
    </row>
    <row r="107" spans="16:36">
      <c r="S107" s="170"/>
      <c r="T107" s="631">
        <v>102</v>
      </c>
      <c r="U107" s="631">
        <f t="shared" ref="U107:U115" si="9">Y106+0.0000001</f>
        <v>65.000000099999994</v>
      </c>
      <c r="V107" s="630" t="s">
        <v>880</v>
      </c>
      <c r="W107" s="630" t="s">
        <v>83</v>
      </c>
      <c r="X107" s="630" t="s">
        <v>80</v>
      </c>
      <c r="Y107" s="640">
        <f t="shared" si="8"/>
        <v>90</v>
      </c>
      <c r="Z107" s="631">
        <v>8</v>
      </c>
      <c r="AA107" s="631">
        <v>102</v>
      </c>
      <c r="AB107" s="631">
        <v>3734</v>
      </c>
      <c r="AC107" s="169">
        <v>0.31900000000000001</v>
      </c>
      <c r="AD107" s="169"/>
      <c r="AF107" s="62" t="s">
        <v>83</v>
      </c>
      <c r="AG107" s="62">
        <v>75</v>
      </c>
      <c r="AH107" s="62">
        <v>90</v>
      </c>
      <c r="AI107" s="62">
        <v>100</v>
      </c>
    </row>
    <row r="108" spans="16:36">
      <c r="S108" s="170"/>
      <c r="T108" s="631">
        <v>103</v>
      </c>
      <c r="U108" s="631">
        <f t="shared" si="9"/>
        <v>90.000000099999994</v>
      </c>
      <c r="V108" s="630" t="s">
        <v>909</v>
      </c>
      <c r="W108" s="630" t="s">
        <v>87</v>
      </c>
      <c r="X108" s="630" t="s">
        <v>80</v>
      </c>
      <c r="Y108" s="640">
        <f t="shared" si="8"/>
        <v>100</v>
      </c>
      <c r="Z108" s="631">
        <v>9</v>
      </c>
      <c r="AA108" s="631">
        <v>103</v>
      </c>
      <c r="AB108" s="631">
        <v>4686</v>
      </c>
      <c r="AC108" s="169">
        <v>0.253</v>
      </c>
      <c r="AD108" s="169"/>
      <c r="AF108" s="62" t="s">
        <v>87</v>
      </c>
      <c r="AG108" s="62">
        <v>85</v>
      </c>
      <c r="AH108" s="62">
        <v>100</v>
      </c>
      <c r="AI108" s="62">
        <v>115</v>
      </c>
    </row>
    <row r="109" spans="16:36">
      <c r="S109" s="170"/>
      <c r="T109" s="631">
        <v>104</v>
      </c>
      <c r="U109" s="631">
        <f t="shared" si="9"/>
        <v>100.00000009999999</v>
      </c>
      <c r="V109" s="630" t="s">
        <v>910</v>
      </c>
      <c r="W109" s="630" t="s">
        <v>93</v>
      </c>
      <c r="X109" s="630" t="s">
        <v>80</v>
      </c>
      <c r="Y109" s="640">
        <f t="shared" si="8"/>
        <v>120</v>
      </c>
      <c r="Z109" s="631">
        <v>10</v>
      </c>
      <c r="AA109" s="631">
        <v>104</v>
      </c>
      <c r="AB109" s="631">
        <v>5852</v>
      </c>
      <c r="AC109" s="169">
        <v>0.20100000000000001</v>
      </c>
      <c r="AD109" s="169"/>
      <c r="AF109" s="62" t="s">
        <v>93</v>
      </c>
      <c r="AG109" s="62">
        <v>100</v>
      </c>
      <c r="AH109" s="62">
        <v>120</v>
      </c>
      <c r="AI109" s="62">
        <v>135</v>
      </c>
    </row>
    <row r="110" spans="16:36">
      <c r="S110" s="170"/>
      <c r="T110" s="631">
        <v>105</v>
      </c>
      <c r="U110" s="631">
        <f t="shared" si="9"/>
        <v>120.00000009999999</v>
      </c>
      <c r="V110" s="630" t="s">
        <v>911</v>
      </c>
      <c r="W110" s="630" t="s">
        <v>97</v>
      </c>
      <c r="X110" s="630" t="s">
        <v>80</v>
      </c>
      <c r="Y110" s="640">
        <f t="shared" si="8"/>
        <v>135</v>
      </c>
      <c r="Z110" s="631">
        <v>11</v>
      </c>
      <c r="AA110" s="631">
        <v>105</v>
      </c>
      <c r="AB110" s="631">
        <v>7327</v>
      </c>
      <c r="AC110" s="169">
        <v>0.159</v>
      </c>
      <c r="AD110" s="169"/>
      <c r="AF110" s="62" t="s">
        <v>97</v>
      </c>
      <c r="AG110" s="62">
        <v>115</v>
      </c>
      <c r="AH110" s="62">
        <v>135</v>
      </c>
      <c r="AI110" s="62">
        <v>150</v>
      </c>
    </row>
    <row r="111" spans="16:36">
      <c r="S111" s="170"/>
      <c r="T111" s="631">
        <v>106</v>
      </c>
      <c r="U111" s="631">
        <f t="shared" si="9"/>
        <v>135.00000009999999</v>
      </c>
      <c r="V111" s="630" t="s">
        <v>912</v>
      </c>
      <c r="W111" s="630" t="s">
        <v>101</v>
      </c>
      <c r="X111" s="630" t="s">
        <v>80</v>
      </c>
      <c r="Y111" s="640">
        <f t="shared" si="8"/>
        <v>155</v>
      </c>
      <c r="Z111" s="631">
        <v>12</v>
      </c>
      <c r="AA111" s="631">
        <v>106</v>
      </c>
      <c r="AB111" s="631">
        <v>9077</v>
      </c>
      <c r="AC111" s="169">
        <v>0.126</v>
      </c>
      <c r="AD111" s="169"/>
      <c r="AF111" s="62" t="s">
        <v>101</v>
      </c>
      <c r="AG111" s="62">
        <v>130</v>
      </c>
      <c r="AH111" s="62">
        <v>155</v>
      </c>
      <c r="AI111" s="62">
        <v>175</v>
      </c>
    </row>
    <row r="112" spans="16:36">
      <c r="S112" s="170"/>
      <c r="T112" s="631">
        <v>107</v>
      </c>
      <c r="U112" s="631">
        <f t="shared" si="9"/>
        <v>155.00000009999999</v>
      </c>
      <c r="V112" s="630" t="s">
        <v>913</v>
      </c>
      <c r="W112" s="630" t="s">
        <v>103</v>
      </c>
      <c r="X112" s="630" t="s">
        <v>83</v>
      </c>
      <c r="Y112" s="640">
        <f t="shared" si="8"/>
        <v>180</v>
      </c>
      <c r="Z112" s="631">
        <v>13</v>
      </c>
      <c r="AA112" s="631">
        <v>107</v>
      </c>
      <c r="AB112" s="631">
        <v>11185</v>
      </c>
      <c r="AC112" s="169">
        <v>0.1</v>
      </c>
      <c r="AD112" s="169"/>
      <c r="AF112" s="62" t="s">
        <v>103</v>
      </c>
      <c r="AG112" s="62">
        <v>150</v>
      </c>
      <c r="AH112" s="62">
        <v>180</v>
      </c>
      <c r="AI112" s="62">
        <v>205</v>
      </c>
    </row>
    <row r="113" spans="19:36">
      <c r="S113" s="170"/>
      <c r="T113" s="631">
        <v>108</v>
      </c>
      <c r="U113" s="631">
        <f t="shared" si="9"/>
        <v>180.00000009999999</v>
      </c>
      <c r="V113" s="630" t="s">
        <v>914</v>
      </c>
      <c r="W113" s="630" t="s">
        <v>106</v>
      </c>
      <c r="X113" s="630" t="s">
        <v>83</v>
      </c>
      <c r="Y113" s="640">
        <f t="shared" si="8"/>
        <v>205</v>
      </c>
      <c r="Z113" s="631">
        <v>14</v>
      </c>
      <c r="AA113" s="631">
        <v>108</v>
      </c>
      <c r="AB113" s="631">
        <v>12797</v>
      </c>
      <c r="AC113" s="169">
        <v>8.4699999999999998E-2</v>
      </c>
      <c r="AD113" s="169"/>
      <c r="AF113" s="62" t="s">
        <v>106</v>
      </c>
      <c r="AG113" s="62">
        <v>170</v>
      </c>
      <c r="AH113" s="62">
        <v>205</v>
      </c>
      <c r="AI113" s="62">
        <v>230</v>
      </c>
    </row>
    <row r="114" spans="19:36">
      <c r="S114" s="170"/>
      <c r="T114" s="631">
        <v>109</v>
      </c>
      <c r="U114" s="631">
        <f t="shared" si="9"/>
        <v>205.00000009999999</v>
      </c>
      <c r="V114" s="630" t="s">
        <v>915</v>
      </c>
      <c r="W114" s="630" t="s">
        <v>109</v>
      </c>
      <c r="X114" s="630" t="s">
        <v>87</v>
      </c>
      <c r="Y114" s="640">
        <f t="shared" si="8"/>
        <v>250</v>
      </c>
      <c r="Z114" s="631">
        <v>16</v>
      </c>
      <c r="AA114" s="631">
        <v>109</v>
      </c>
      <c r="AB114" s="631">
        <v>16795</v>
      </c>
      <c r="AC114" s="169">
        <v>6.0499999999999998E-2</v>
      </c>
      <c r="AD114" s="169"/>
      <c r="AF114" s="57" t="s">
        <v>112</v>
      </c>
      <c r="AG114" s="57">
        <v>210</v>
      </c>
      <c r="AH114" s="57">
        <v>250</v>
      </c>
      <c r="AI114" s="57">
        <v>280</v>
      </c>
    </row>
    <row r="115" spans="19:36">
      <c r="S115" s="170"/>
      <c r="T115" s="633">
        <v>110</v>
      </c>
      <c r="U115" s="633">
        <f t="shared" si="9"/>
        <v>250.00000009999999</v>
      </c>
      <c r="V115" s="632" t="s">
        <v>877</v>
      </c>
      <c r="W115" s="632" t="s">
        <v>877</v>
      </c>
      <c r="X115" s="632" t="s">
        <v>877</v>
      </c>
      <c r="Y115" s="641">
        <f>Y114</f>
        <v>250</v>
      </c>
      <c r="Z115" s="633" t="s">
        <v>877</v>
      </c>
      <c r="AA115" s="633">
        <v>110</v>
      </c>
      <c r="AB115" s="642" t="s">
        <v>877</v>
      </c>
      <c r="AC115" s="642" t="s">
        <v>877</v>
      </c>
      <c r="AD115" s="169"/>
    </row>
    <row r="116" spans="19:36">
      <c r="S116" s="170"/>
      <c r="T116" s="166"/>
      <c r="U116" s="166"/>
      <c r="V116" s="635"/>
      <c r="W116" s="635"/>
      <c r="X116" s="635"/>
      <c r="Y116" s="166"/>
      <c r="Z116" s="166"/>
      <c r="AA116" s="166"/>
      <c r="AB116" s="166"/>
      <c r="AC116" s="166"/>
      <c r="AD116" s="169"/>
    </row>
    <row r="117" spans="19:36">
      <c r="S117" s="170"/>
      <c r="T117" s="166">
        <f>VLOOKUP(AA117,T105:AA115,1)</f>
        <v>101</v>
      </c>
      <c r="U117" s="166"/>
      <c r="V117" s="166" t="str">
        <f>VLOOKUP(Q102,U105:AB115,2)</f>
        <v>4-4-4-6</v>
      </c>
      <c r="W117" s="166" t="str">
        <f>VLOOKUP(Q102,U105:AB115,3)</f>
        <v>#4</v>
      </c>
      <c r="X117" s="166" t="str">
        <f>VLOOKUP(Q102,U105:AB115,4)</f>
        <v>#6</v>
      </c>
      <c r="Y117" s="166">
        <f>VLOOKUP(Q102,U105:AB115,5)</f>
        <v>65</v>
      </c>
      <c r="Z117" s="166">
        <f>VLOOKUP(Q102,U105:AB115,6)</f>
        <v>6</v>
      </c>
      <c r="AA117" s="166">
        <f>VLOOKUP(Q102,U105:AB115,7)</f>
        <v>101</v>
      </c>
      <c r="AB117" s="166">
        <f>VLOOKUP(Q102,U105:AB115,8)</f>
        <v>2353</v>
      </c>
      <c r="AC117" s="166">
        <f>VLOOKUP(Q102,U105:AC115,9)</f>
        <v>0.50800000000000001</v>
      </c>
      <c r="AD117" s="169"/>
    </row>
    <row r="118" spans="19:36">
      <c r="S118" s="170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9"/>
    </row>
    <row r="119" spans="19:36">
      <c r="S119" s="170"/>
      <c r="T119" s="166"/>
      <c r="U119" s="166"/>
      <c r="V119" s="166" t="s">
        <v>916</v>
      </c>
      <c r="W119" s="166"/>
      <c r="X119" s="166"/>
      <c r="Y119" s="166"/>
      <c r="Z119" s="166"/>
      <c r="AA119" s="166" t="str">
        <f>CONCATENATE(V119,W119,X119,Y119)</f>
        <v xml:space="preserve"> MC CABLE</v>
      </c>
      <c r="AB119" s="166"/>
      <c r="AC119" s="166"/>
      <c r="AD119" s="169"/>
    </row>
    <row r="120" spans="19:36">
      <c r="S120" s="170"/>
      <c r="T120" s="166"/>
      <c r="U120" s="166"/>
      <c r="V120" s="166" t="s">
        <v>900</v>
      </c>
      <c r="W120" s="166" t="str">
        <f>W117</f>
        <v>#4</v>
      </c>
      <c r="X120" s="166" t="s">
        <v>641</v>
      </c>
      <c r="Y120" s="166" t="s">
        <v>12</v>
      </c>
      <c r="Z120" s="166" t="s">
        <v>12</v>
      </c>
      <c r="AA120" s="166" t="str">
        <f>CONCATENATE(V120,W120,X120,Y120,Z120)</f>
        <v xml:space="preserve"> 3-#4 AL  </v>
      </c>
      <c r="AB120" s="166"/>
      <c r="AC120" s="166"/>
      <c r="AD120" s="169"/>
    </row>
    <row r="121" spans="19:36">
      <c r="S121" s="170"/>
      <c r="T121" s="166"/>
      <c r="U121" s="166"/>
      <c r="V121" s="166" t="s">
        <v>901</v>
      </c>
      <c r="W121" s="166" t="str">
        <f>X117</f>
        <v>#6</v>
      </c>
      <c r="X121" s="166" t="s">
        <v>825</v>
      </c>
      <c r="Y121" s="166"/>
      <c r="Z121" s="166"/>
      <c r="AA121" s="166" t="str">
        <f>CONCATENATE(V121,W121,X121,Y121,Z121)</f>
        <v xml:space="preserve"> 1-#6 GND</v>
      </c>
      <c r="AB121" s="166"/>
      <c r="AC121" s="166"/>
      <c r="AD121" s="169"/>
    </row>
    <row r="122" spans="19:36">
      <c r="S122" s="636"/>
      <c r="T122" s="637"/>
      <c r="U122" s="637"/>
      <c r="V122" s="637"/>
      <c r="W122" s="637"/>
      <c r="X122" s="637"/>
      <c r="Y122" s="637"/>
      <c r="Z122" s="637"/>
      <c r="AA122" s="637"/>
      <c r="AB122" s="637"/>
      <c r="AC122" s="637"/>
      <c r="AD122" s="638"/>
    </row>
    <row r="126" spans="19:36">
      <c r="AJ126" s="1"/>
    </row>
    <row r="127" spans="19:36">
      <c r="S127" s="166" t="s">
        <v>918</v>
      </c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</row>
    <row r="128" spans="19:36">
      <c r="S128" s="634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4"/>
      <c r="AF128" s="24" t="s">
        <v>72</v>
      </c>
      <c r="AG128" s="1"/>
      <c r="AH128" s="1"/>
      <c r="AI128" s="1"/>
    </row>
    <row r="129" spans="16:35">
      <c r="P129" s="229" t="s">
        <v>48</v>
      </c>
      <c r="Q129" s="229">
        <f>B6</f>
        <v>57.9</v>
      </c>
      <c r="S129" s="170"/>
      <c r="T129" s="629" t="s">
        <v>875</v>
      </c>
      <c r="U129" s="629" t="s">
        <v>30</v>
      </c>
      <c r="V129" s="58" t="s">
        <v>68</v>
      </c>
      <c r="W129" s="58" t="s">
        <v>68</v>
      </c>
      <c r="X129" s="58" t="s">
        <v>34</v>
      </c>
      <c r="Y129" s="639" t="str">
        <f>IF($Q$130=60,AG129,IF($Q$130=75,AH129,IF($Q$130=90,AI129)))</f>
        <v>75 C</v>
      </c>
      <c r="Z129" s="58" t="s">
        <v>68</v>
      </c>
      <c r="AA129" s="629" t="s">
        <v>875</v>
      </c>
      <c r="AB129" s="58" t="s">
        <v>886</v>
      </c>
      <c r="AC129" s="58" t="s">
        <v>179</v>
      </c>
      <c r="AD129" s="169"/>
      <c r="AF129" s="58" t="s">
        <v>68</v>
      </c>
      <c r="AG129" s="58" t="s">
        <v>69</v>
      </c>
      <c r="AH129" s="58" t="s">
        <v>70</v>
      </c>
      <c r="AI129" s="58" t="s">
        <v>71</v>
      </c>
    </row>
    <row r="130" spans="16:35">
      <c r="P130" s="229" t="s">
        <v>905</v>
      </c>
      <c r="Q130" s="229">
        <f>B7</f>
        <v>75</v>
      </c>
      <c r="S130" s="170"/>
      <c r="T130" s="631" t="s">
        <v>876</v>
      </c>
      <c r="U130" s="631"/>
      <c r="V130" s="62" t="s">
        <v>38</v>
      </c>
      <c r="W130" s="62" t="s">
        <v>38</v>
      </c>
      <c r="X130" s="62" t="s">
        <v>38</v>
      </c>
      <c r="Y130" s="62" t="s">
        <v>48</v>
      </c>
      <c r="Z130" s="62" t="s">
        <v>38</v>
      </c>
      <c r="AA130" s="631" t="s">
        <v>876</v>
      </c>
      <c r="AB130" s="62" t="s">
        <v>887</v>
      </c>
      <c r="AC130" s="62" t="s">
        <v>182</v>
      </c>
      <c r="AD130" s="169"/>
      <c r="AF130" s="62" t="s">
        <v>38</v>
      </c>
      <c r="AG130" s="62" t="s">
        <v>48</v>
      </c>
      <c r="AH130" s="62" t="s">
        <v>48</v>
      </c>
      <c r="AI130" s="62" t="s">
        <v>48</v>
      </c>
    </row>
    <row r="131" spans="16:35">
      <c r="S131" s="170"/>
      <c r="T131" s="633"/>
      <c r="U131" s="633"/>
      <c r="V131" s="62" t="s">
        <v>74</v>
      </c>
      <c r="W131" s="62"/>
      <c r="X131" s="62"/>
      <c r="Y131" s="62" t="s">
        <v>77</v>
      </c>
      <c r="Z131" s="62" t="s">
        <v>390</v>
      </c>
      <c r="AA131" s="633"/>
      <c r="AB131" s="57"/>
      <c r="AC131" s="57" t="s">
        <v>77</v>
      </c>
      <c r="AD131" s="169"/>
      <c r="AF131" s="62" t="s">
        <v>74</v>
      </c>
      <c r="AG131" s="62" t="s">
        <v>77</v>
      </c>
      <c r="AH131" s="62" t="s">
        <v>77</v>
      </c>
      <c r="AI131" s="62" t="s">
        <v>77</v>
      </c>
    </row>
    <row r="132" spans="16:35">
      <c r="S132" s="170"/>
      <c r="T132" s="629">
        <v>100</v>
      </c>
      <c r="U132" s="629">
        <v>0</v>
      </c>
      <c r="V132" s="628" t="s">
        <v>889</v>
      </c>
      <c r="W132" s="628" t="s">
        <v>76</v>
      </c>
      <c r="X132" s="628" t="s">
        <v>76</v>
      </c>
      <c r="Y132" s="639">
        <f t="shared" ref="Y132:Y141" si="10">IF($Q$130=60,AG132,IF($Q$130=75,AH132,IF($Q$130=90,AI132)))</f>
        <v>50</v>
      </c>
      <c r="Z132" s="629">
        <v>5</v>
      </c>
      <c r="AA132" s="629">
        <v>100</v>
      </c>
      <c r="AB132" s="629">
        <v>1482</v>
      </c>
      <c r="AC132" s="169">
        <v>0.80800000000000005</v>
      </c>
      <c r="AD132" s="169"/>
      <c r="AF132" s="58" t="s">
        <v>76</v>
      </c>
      <c r="AG132" s="58">
        <v>40</v>
      </c>
      <c r="AH132" s="58">
        <v>50</v>
      </c>
      <c r="AI132" s="58">
        <v>60</v>
      </c>
    </row>
    <row r="133" spans="16:35">
      <c r="S133" s="170"/>
      <c r="T133" s="631">
        <v>101</v>
      </c>
      <c r="U133" s="631">
        <f>Y132+0.0000001</f>
        <v>50.000000100000001</v>
      </c>
      <c r="V133" s="630" t="s">
        <v>890</v>
      </c>
      <c r="W133" s="630" t="s">
        <v>80</v>
      </c>
      <c r="X133" s="630" t="s">
        <v>76</v>
      </c>
      <c r="Y133" s="640">
        <f t="shared" si="10"/>
        <v>65</v>
      </c>
      <c r="Z133" s="631">
        <v>6</v>
      </c>
      <c r="AA133" s="631">
        <v>101</v>
      </c>
      <c r="AB133" s="631">
        <v>2353</v>
      </c>
      <c r="AC133" s="169">
        <v>0.50800000000000001</v>
      </c>
      <c r="AD133" s="169"/>
      <c r="AF133" s="62" t="s">
        <v>80</v>
      </c>
      <c r="AG133" s="62">
        <v>55</v>
      </c>
      <c r="AH133" s="62">
        <v>65</v>
      </c>
      <c r="AI133" s="62">
        <v>75</v>
      </c>
    </row>
    <row r="134" spans="16:35">
      <c r="S134" s="170"/>
      <c r="T134" s="631">
        <v>102</v>
      </c>
      <c r="U134" s="631">
        <f t="shared" ref="U134:U142" si="11">Y133+0.0000001</f>
        <v>65.000000099999994</v>
      </c>
      <c r="V134" s="630" t="s">
        <v>891</v>
      </c>
      <c r="W134" s="630" t="s">
        <v>83</v>
      </c>
      <c r="X134" s="630" t="s">
        <v>80</v>
      </c>
      <c r="Y134" s="640">
        <f t="shared" si="10"/>
        <v>90</v>
      </c>
      <c r="Z134" s="631">
        <v>8</v>
      </c>
      <c r="AA134" s="631">
        <v>102</v>
      </c>
      <c r="AB134" s="631">
        <v>3734</v>
      </c>
      <c r="AC134" s="169">
        <v>0.31900000000000001</v>
      </c>
      <c r="AD134" s="169"/>
      <c r="AF134" s="62" t="s">
        <v>83</v>
      </c>
      <c r="AG134" s="62">
        <v>75</v>
      </c>
      <c r="AH134" s="62">
        <v>90</v>
      </c>
      <c r="AI134" s="62">
        <v>100</v>
      </c>
    </row>
    <row r="135" spans="16:35">
      <c r="S135" s="170"/>
      <c r="T135" s="631">
        <v>103</v>
      </c>
      <c r="U135" s="631">
        <f t="shared" si="11"/>
        <v>90.000000099999994</v>
      </c>
      <c r="V135" s="630" t="s">
        <v>919</v>
      </c>
      <c r="W135" s="630" t="s">
        <v>87</v>
      </c>
      <c r="X135" s="630" t="s">
        <v>80</v>
      </c>
      <c r="Y135" s="640">
        <f t="shared" si="10"/>
        <v>100</v>
      </c>
      <c r="Z135" s="631">
        <v>9</v>
      </c>
      <c r="AA135" s="631">
        <v>103</v>
      </c>
      <c r="AB135" s="631">
        <v>4686</v>
      </c>
      <c r="AC135" s="169">
        <v>0.253</v>
      </c>
      <c r="AD135" s="169"/>
      <c r="AF135" s="62" t="s">
        <v>87</v>
      </c>
      <c r="AG135" s="62">
        <v>85</v>
      </c>
      <c r="AH135" s="62">
        <v>100</v>
      </c>
      <c r="AI135" s="62">
        <v>115</v>
      </c>
    </row>
    <row r="136" spans="16:35">
      <c r="S136" s="170"/>
      <c r="T136" s="631">
        <v>104</v>
      </c>
      <c r="U136" s="631">
        <f t="shared" si="11"/>
        <v>100.00000009999999</v>
      </c>
      <c r="V136" s="630" t="s">
        <v>920</v>
      </c>
      <c r="W136" s="630" t="s">
        <v>93</v>
      </c>
      <c r="X136" s="630" t="s">
        <v>80</v>
      </c>
      <c r="Y136" s="640">
        <f t="shared" si="10"/>
        <v>120</v>
      </c>
      <c r="Z136" s="631">
        <v>10</v>
      </c>
      <c r="AA136" s="631">
        <v>104</v>
      </c>
      <c r="AB136" s="631">
        <v>5852</v>
      </c>
      <c r="AC136" s="169">
        <v>0.20100000000000001</v>
      </c>
      <c r="AD136" s="169"/>
      <c r="AF136" s="62" t="s">
        <v>93</v>
      </c>
      <c r="AG136" s="62">
        <v>100</v>
      </c>
      <c r="AH136" s="62">
        <v>120</v>
      </c>
      <c r="AI136" s="62">
        <v>135</v>
      </c>
    </row>
    <row r="137" spans="16:35">
      <c r="S137" s="170"/>
      <c r="T137" s="631">
        <v>105</v>
      </c>
      <c r="U137" s="631">
        <f t="shared" si="11"/>
        <v>120.00000009999999</v>
      </c>
      <c r="V137" s="630" t="s">
        <v>921</v>
      </c>
      <c r="W137" s="630" t="s">
        <v>97</v>
      </c>
      <c r="X137" s="630" t="s">
        <v>80</v>
      </c>
      <c r="Y137" s="640">
        <f t="shared" si="10"/>
        <v>135</v>
      </c>
      <c r="Z137" s="631">
        <v>11</v>
      </c>
      <c r="AA137" s="631">
        <v>105</v>
      </c>
      <c r="AB137" s="631">
        <v>7327</v>
      </c>
      <c r="AC137" s="169">
        <v>0.159</v>
      </c>
      <c r="AD137" s="169"/>
      <c r="AF137" s="62" t="s">
        <v>97</v>
      </c>
      <c r="AG137" s="62">
        <v>115</v>
      </c>
      <c r="AH137" s="62">
        <v>135</v>
      </c>
      <c r="AI137" s="62">
        <v>150</v>
      </c>
    </row>
    <row r="138" spans="16:35">
      <c r="S138" s="170"/>
      <c r="T138" s="631">
        <v>106</v>
      </c>
      <c r="U138" s="631">
        <f t="shared" si="11"/>
        <v>135.00000009999999</v>
      </c>
      <c r="V138" s="630" t="s">
        <v>922</v>
      </c>
      <c r="W138" s="630" t="s">
        <v>101</v>
      </c>
      <c r="X138" s="630" t="s">
        <v>80</v>
      </c>
      <c r="Y138" s="640">
        <f t="shared" si="10"/>
        <v>155</v>
      </c>
      <c r="Z138" s="631">
        <v>12</v>
      </c>
      <c r="AA138" s="631">
        <v>106</v>
      </c>
      <c r="AB138" s="631">
        <v>9077</v>
      </c>
      <c r="AC138" s="169">
        <v>0.126</v>
      </c>
      <c r="AD138" s="169"/>
      <c r="AF138" s="62" t="s">
        <v>101</v>
      </c>
      <c r="AG138" s="62">
        <v>130</v>
      </c>
      <c r="AH138" s="62">
        <v>155</v>
      </c>
      <c r="AI138" s="62">
        <v>175</v>
      </c>
    </row>
    <row r="139" spans="16:35">
      <c r="S139" s="170"/>
      <c r="T139" s="631">
        <v>107</v>
      </c>
      <c r="U139" s="631">
        <f t="shared" si="11"/>
        <v>155.00000009999999</v>
      </c>
      <c r="V139" s="630" t="s">
        <v>923</v>
      </c>
      <c r="W139" s="630" t="s">
        <v>103</v>
      </c>
      <c r="X139" s="630" t="s">
        <v>83</v>
      </c>
      <c r="Y139" s="640">
        <f t="shared" si="10"/>
        <v>180</v>
      </c>
      <c r="Z139" s="631">
        <v>13</v>
      </c>
      <c r="AA139" s="631">
        <v>107</v>
      </c>
      <c r="AB139" s="631">
        <v>11185</v>
      </c>
      <c r="AC139" s="169">
        <v>0.1</v>
      </c>
      <c r="AD139" s="169"/>
      <c r="AF139" s="62" t="s">
        <v>103</v>
      </c>
      <c r="AG139" s="62">
        <v>150</v>
      </c>
      <c r="AH139" s="62">
        <v>180</v>
      </c>
      <c r="AI139" s="62">
        <v>205</v>
      </c>
    </row>
    <row r="140" spans="16:35">
      <c r="S140" s="170"/>
      <c r="T140" s="631">
        <v>108</v>
      </c>
      <c r="U140" s="631">
        <f t="shared" si="11"/>
        <v>180.00000009999999</v>
      </c>
      <c r="V140" s="630" t="s">
        <v>924</v>
      </c>
      <c r="W140" s="630" t="s">
        <v>106</v>
      </c>
      <c r="X140" s="630" t="s">
        <v>87</v>
      </c>
      <c r="Y140" s="640">
        <f t="shared" si="10"/>
        <v>205</v>
      </c>
      <c r="Z140" s="631">
        <v>14</v>
      </c>
      <c r="AA140" s="631">
        <v>108</v>
      </c>
      <c r="AB140" s="631">
        <v>12797</v>
      </c>
      <c r="AC140" s="169">
        <v>8.4699999999999998E-2</v>
      </c>
      <c r="AD140" s="169"/>
      <c r="AF140" s="62" t="s">
        <v>106</v>
      </c>
      <c r="AG140" s="62">
        <v>170</v>
      </c>
      <c r="AH140" s="62">
        <v>205</v>
      </c>
      <c r="AI140" s="62">
        <v>230</v>
      </c>
    </row>
    <row r="141" spans="16:35">
      <c r="S141" s="170"/>
      <c r="T141" s="631">
        <v>109</v>
      </c>
      <c r="U141" s="631">
        <f t="shared" si="11"/>
        <v>205.00000009999999</v>
      </c>
      <c r="V141" s="630" t="s">
        <v>925</v>
      </c>
      <c r="W141" s="630" t="s">
        <v>112</v>
      </c>
      <c r="X141" s="630" t="s">
        <v>93</v>
      </c>
      <c r="Y141" s="640">
        <f t="shared" si="10"/>
        <v>250</v>
      </c>
      <c r="Z141" s="631">
        <v>16</v>
      </c>
      <c r="AA141" s="631">
        <v>109</v>
      </c>
      <c r="AB141" s="631">
        <v>16795</v>
      </c>
      <c r="AC141" s="169">
        <v>6.0499999999999998E-2</v>
      </c>
      <c r="AD141" s="169"/>
      <c r="AF141" s="57" t="s">
        <v>112</v>
      </c>
      <c r="AG141" s="57">
        <v>210</v>
      </c>
      <c r="AH141" s="57">
        <v>250</v>
      </c>
      <c r="AI141" s="57">
        <v>280</v>
      </c>
    </row>
    <row r="142" spans="16:35">
      <c r="S142" s="170"/>
      <c r="T142" s="633">
        <v>110</v>
      </c>
      <c r="U142" s="633">
        <f t="shared" si="11"/>
        <v>250.00000009999999</v>
      </c>
      <c r="V142" s="632" t="s">
        <v>877</v>
      </c>
      <c r="W142" s="632" t="s">
        <v>877</v>
      </c>
      <c r="X142" s="632" t="s">
        <v>877</v>
      </c>
      <c r="Y142" s="641">
        <f>Y141</f>
        <v>250</v>
      </c>
      <c r="Z142" s="633" t="s">
        <v>877</v>
      </c>
      <c r="AA142" s="633">
        <v>110</v>
      </c>
      <c r="AB142" s="642" t="s">
        <v>877</v>
      </c>
      <c r="AC142" s="642" t="s">
        <v>877</v>
      </c>
      <c r="AD142" s="169"/>
    </row>
    <row r="143" spans="16:35">
      <c r="S143" s="170"/>
      <c r="T143" s="166"/>
      <c r="U143" s="166"/>
      <c r="V143" s="635"/>
      <c r="W143" s="635"/>
      <c r="X143" s="635"/>
      <c r="Y143" s="166"/>
      <c r="Z143" s="166"/>
      <c r="AA143" s="166"/>
      <c r="AB143" s="166"/>
      <c r="AC143" s="166"/>
      <c r="AD143" s="169"/>
    </row>
    <row r="144" spans="16:35">
      <c r="S144" s="170"/>
      <c r="T144" s="166">
        <f>VLOOKUP(AA144,T132:AA142,1)</f>
        <v>101</v>
      </c>
      <c r="U144" s="166"/>
      <c r="V144" s="166" t="str">
        <f>VLOOKUP(Q129,U132:AB142,2)</f>
        <v>4-4-4-4-6</v>
      </c>
      <c r="W144" s="166" t="str">
        <f>VLOOKUP(Q129,U132:AB142,3)</f>
        <v>#4</v>
      </c>
      <c r="X144" s="166" t="str">
        <f>VLOOKUP(Q129,U132:AB142,4)</f>
        <v>#6</v>
      </c>
      <c r="Y144" s="166">
        <f>VLOOKUP(Q129,U132:AB142,5)</f>
        <v>65</v>
      </c>
      <c r="Z144" s="166">
        <f>VLOOKUP(Q129,U132:AB142,6)</f>
        <v>6</v>
      </c>
      <c r="AA144" s="166">
        <f>VLOOKUP(Q129,U132:AB142,7)</f>
        <v>101</v>
      </c>
      <c r="AB144" s="166">
        <f>VLOOKUP(Q129,U132:AB142,8)</f>
        <v>2353</v>
      </c>
      <c r="AC144" s="166">
        <f>VLOOKUP(Q129,U132:AC142,9)</f>
        <v>0.50800000000000001</v>
      </c>
      <c r="AD144" s="169"/>
    </row>
    <row r="145" spans="16:36">
      <c r="S145" s="170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9"/>
    </row>
    <row r="146" spans="16:36">
      <c r="S146" s="170"/>
      <c r="T146" s="166"/>
      <c r="U146" s="166"/>
      <c r="V146" s="166" t="s">
        <v>916</v>
      </c>
      <c r="W146" s="166"/>
      <c r="X146" s="166"/>
      <c r="Y146" s="166"/>
      <c r="Z146" s="166"/>
      <c r="AA146" s="166" t="str">
        <f>CONCATENATE(V146,W146,X146,Y146)</f>
        <v xml:space="preserve"> MC CABLE</v>
      </c>
      <c r="AB146" s="166"/>
      <c r="AC146" s="166"/>
      <c r="AD146" s="169"/>
    </row>
    <row r="147" spans="16:36">
      <c r="S147" s="170"/>
      <c r="T147" s="166"/>
      <c r="U147" s="166"/>
      <c r="V147" s="166" t="s">
        <v>917</v>
      </c>
      <c r="W147" s="166" t="str">
        <f>W144</f>
        <v>#4</v>
      </c>
      <c r="X147" s="166" t="s">
        <v>641</v>
      </c>
      <c r="Y147" s="166" t="s">
        <v>12</v>
      </c>
      <c r="Z147" s="166" t="s">
        <v>12</v>
      </c>
      <c r="AA147" s="166" t="str">
        <f>CONCATENATE(V147,W147,X147,Y147,Z147)</f>
        <v xml:space="preserve"> 4-#4 AL  </v>
      </c>
      <c r="AB147" s="166"/>
      <c r="AC147" s="166"/>
      <c r="AD147" s="169"/>
    </row>
    <row r="148" spans="16:36">
      <c r="S148" s="170"/>
      <c r="T148" s="166"/>
      <c r="U148" s="166"/>
      <c r="V148" s="166" t="s">
        <v>901</v>
      </c>
      <c r="W148" s="166" t="str">
        <f>X144</f>
        <v>#6</v>
      </c>
      <c r="X148" s="166" t="s">
        <v>825</v>
      </c>
      <c r="Y148" s="166"/>
      <c r="Z148" s="166"/>
      <c r="AA148" s="166" t="str">
        <f>CONCATENATE(V148,W148,X148,Y148,Z148)</f>
        <v xml:space="preserve"> 1-#6 GND</v>
      </c>
      <c r="AB148" s="166"/>
      <c r="AC148" s="166"/>
      <c r="AD148" s="169"/>
    </row>
    <row r="149" spans="16:36">
      <c r="S149" s="636"/>
      <c r="T149" s="637"/>
      <c r="U149" s="637"/>
      <c r="V149" s="637"/>
      <c r="W149" s="637"/>
      <c r="X149" s="637"/>
      <c r="Y149" s="637"/>
      <c r="Z149" s="637"/>
      <c r="AA149" s="637"/>
      <c r="AB149" s="637"/>
      <c r="AC149" s="637"/>
      <c r="AD149" s="638"/>
    </row>
    <row r="150" spans="16:36">
      <c r="AJ150" s="1"/>
    </row>
    <row r="153" spans="16:36">
      <c r="S153" s="166" t="s">
        <v>926</v>
      </c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</row>
    <row r="154" spans="16:36">
      <c r="S154" s="634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4"/>
      <c r="AF154" s="24" t="s">
        <v>72</v>
      </c>
      <c r="AG154" s="1"/>
      <c r="AH154" s="1"/>
      <c r="AI154" s="1"/>
    </row>
    <row r="155" spans="16:36">
      <c r="P155" s="229" t="s">
        <v>48</v>
      </c>
      <c r="Q155" s="229">
        <f>B6</f>
        <v>57.9</v>
      </c>
      <c r="S155" s="170"/>
      <c r="T155" s="629" t="s">
        <v>875</v>
      </c>
      <c r="U155" s="629" t="s">
        <v>30</v>
      </c>
      <c r="V155" s="58" t="s">
        <v>68</v>
      </c>
      <c r="W155" s="58" t="s">
        <v>68</v>
      </c>
      <c r="X155" s="58" t="s">
        <v>34</v>
      </c>
      <c r="Y155" s="639" t="str">
        <f>IF($Q$156=60,AG155,IF($Q$156=75,AH155,IF($Q$156=90,AI155)))</f>
        <v>75 C</v>
      </c>
      <c r="Z155" s="58" t="s">
        <v>68</v>
      </c>
      <c r="AA155" s="629" t="s">
        <v>875</v>
      </c>
      <c r="AB155" s="58" t="s">
        <v>886</v>
      </c>
      <c r="AC155" s="58" t="s">
        <v>179</v>
      </c>
      <c r="AD155" s="169"/>
      <c r="AF155" s="58" t="s">
        <v>68</v>
      </c>
      <c r="AG155" s="58" t="s">
        <v>69</v>
      </c>
      <c r="AH155" s="58" t="s">
        <v>70</v>
      </c>
      <c r="AI155" s="58" t="s">
        <v>71</v>
      </c>
    </row>
    <row r="156" spans="16:36">
      <c r="P156" s="229" t="s">
        <v>905</v>
      </c>
      <c r="Q156" s="229">
        <f>B7</f>
        <v>75</v>
      </c>
      <c r="S156" s="170"/>
      <c r="T156" s="631" t="s">
        <v>876</v>
      </c>
      <c r="U156" s="631"/>
      <c r="V156" s="62" t="s">
        <v>38</v>
      </c>
      <c r="W156" s="62" t="s">
        <v>38</v>
      </c>
      <c r="X156" s="62" t="s">
        <v>38</v>
      </c>
      <c r="Y156" s="62" t="s">
        <v>48</v>
      </c>
      <c r="Z156" s="62" t="s">
        <v>38</v>
      </c>
      <c r="AA156" s="631" t="s">
        <v>876</v>
      </c>
      <c r="AB156" s="62" t="s">
        <v>887</v>
      </c>
      <c r="AC156" s="62" t="s">
        <v>182</v>
      </c>
      <c r="AD156" s="169"/>
      <c r="AF156" s="62" t="s">
        <v>38</v>
      </c>
      <c r="AG156" s="62" t="s">
        <v>48</v>
      </c>
      <c r="AH156" s="62" t="s">
        <v>48</v>
      </c>
      <c r="AI156" s="62" t="s">
        <v>48</v>
      </c>
    </row>
    <row r="157" spans="16:36">
      <c r="S157" s="170"/>
      <c r="T157" s="633"/>
      <c r="U157" s="633"/>
      <c r="V157" s="62" t="s">
        <v>74</v>
      </c>
      <c r="W157" s="62"/>
      <c r="X157" s="62"/>
      <c r="Y157" s="62" t="s">
        <v>77</v>
      </c>
      <c r="Z157" s="62" t="s">
        <v>390</v>
      </c>
      <c r="AA157" s="633"/>
      <c r="AB157" s="57"/>
      <c r="AC157" s="57" t="s">
        <v>60</v>
      </c>
      <c r="AD157" s="169"/>
      <c r="AF157" s="62" t="s">
        <v>74</v>
      </c>
      <c r="AG157" s="62" t="s">
        <v>60</v>
      </c>
      <c r="AH157" s="62" t="s">
        <v>60</v>
      </c>
      <c r="AI157" s="62" t="s">
        <v>60</v>
      </c>
    </row>
    <row r="158" spans="16:36">
      <c r="S158" s="170"/>
      <c r="T158" s="629">
        <v>100</v>
      </c>
      <c r="U158" s="629">
        <v>0</v>
      </c>
      <c r="V158" s="628" t="s">
        <v>937</v>
      </c>
      <c r="W158" s="628" t="s">
        <v>80</v>
      </c>
      <c r="X158" s="628" t="s">
        <v>173</v>
      </c>
      <c r="Y158" s="639">
        <f t="shared" ref="Y158:Y167" si="12">IF($Q$156=60,AG158,IF($Q$156=75,AH158,IF($Q$156=90,AI158)))</f>
        <v>85</v>
      </c>
      <c r="Z158" s="629">
        <v>6</v>
      </c>
      <c r="AA158" s="629">
        <v>100</v>
      </c>
      <c r="AB158" s="629">
        <v>3830</v>
      </c>
      <c r="AC158" s="169">
        <v>0.308</v>
      </c>
      <c r="AD158" s="169"/>
      <c r="AF158" s="62" t="s">
        <v>80</v>
      </c>
      <c r="AG158" s="62">
        <v>70</v>
      </c>
      <c r="AH158" s="62">
        <v>85</v>
      </c>
      <c r="AI158" s="62">
        <v>95</v>
      </c>
    </row>
    <row r="159" spans="16:36">
      <c r="S159" s="170"/>
      <c r="T159" s="631">
        <v>101</v>
      </c>
      <c r="U159" s="631">
        <f>Y158+0.0000001</f>
        <v>85.000000099999994</v>
      </c>
      <c r="V159" s="630" t="s">
        <v>938</v>
      </c>
      <c r="W159" s="630" t="s">
        <v>84</v>
      </c>
      <c r="X159" s="630" t="s">
        <v>76</v>
      </c>
      <c r="Y159" s="640">
        <f t="shared" si="12"/>
        <v>100</v>
      </c>
      <c r="Z159" s="631">
        <v>7</v>
      </c>
      <c r="AA159" s="631">
        <v>101</v>
      </c>
      <c r="AB159" s="631">
        <v>4820</v>
      </c>
      <c r="AC159" s="169">
        <v>0.245</v>
      </c>
      <c r="AD159" s="169"/>
      <c r="AF159" s="62" t="s">
        <v>84</v>
      </c>
      <c r="AG159" s="62">
        <v>85</v>
      </c>
      <c r="AH159" s="62">
        <v>100</v>
      </c>
      <c r="AI159" s="62">
        <v>110</v>
      </c>
    </row>
    <row r="160" spans="16:36">
      <c r="S160" s="170"/>
      <c r="T160" s="631">
        <v>102</v>
      </c>
      <c r="U160" s="631">
        <f t="shared" ref="U160:U168" si="13">Y159+0.0000001</f>
        <v>100.00000009999999</v>
      </c>
      <c r="V160" s="630" t="s">
        <v>939</v>
      </c>
      <c r="W160" s="630" t="s">
        <v>83</v>
      </c>
      <c r="X160" s="630" t="s">
        <v>76</v>
      </c>
      <c r="Y160" s="640">
        <f t="shared" si="12"/>
        <v>115</v>
      </c>
      <c r="Z160" s="631">
        <v>8</v>
      </c>
      <c r="AA160" s="631">
        <v>102</v>
      </c>
      <c r="AB160" s="631">
        <v>5989</v>
      </c>
      <c r="AC160" s="169">
        <v>0.19400000000000001</v>
      </c>
      <c r="AD160" s="169"/>
      <c r="AF160" s="62" t="s">
        <v>83</v>
      </c>
      <c r="AG160" s="62">
        <v>95</v>
      </c>
      <c r="AH160" s="62">
        <v>115</v>
      </c>
      <c r="AI160" s="62">
        <v>130</v>
      </c>
    </row>
    <row r="161" spans="19:35">
      <c r="S161" s="170"/>
      <c r="T161" s="631">
        <v>103</v>
      </c>
      <c r="U161" s="631">
        <f t="shared" si="13"/>
        <v>115.00000009999999</v>
      </c>
      <c r="V161" s="630" t="s">
        <v>940</v>
      </c>
      <c r="W161" s="630" t="s">
        <v>87</v>
      </c>
      <c r="X161" s="630" t="s">
        <v>76</v>
      </c>
      <c r="Y161" s="640">
        <f t="shared" si="12"/>
        <v>130</v>
      </c>
      <c r="Z161" s="631">
        <v>9</v>
      </c>
      <c r="AA161" s="631">
        <v>103</v>
      </c>
      <c r="AB161" s="631">
        <v>7454</v>
      </c>
      <c r="AC161" s="169">
        <v>0.154</v>
      </c>
      <c r="AD161" s="169"/>
      <c r="AF161" s="62" t="s">
        <v>87</v>
      </c>
      <c r="AG161" s="62">
        <v>110</v>
      </c>
      <c r="AH161" s="62">
        <v>130</v>
      </c>
      <c r="AI161" s="62">
        <v>150</v>
      </c>
    </row>
    <row r="162" spans="19:35">
      <c r="S162" s="170"/>
      <c r="T162" s="631">
        <v>104</v>
      </c>
      <c r="U162" s="631">
        <f t="shared" si="13"/>
        <v>130.00000009999999</v>
      </c>
      <c r="V162" s="630" t="s">
        <v>941</v>
      </c>
      <c r="W162" s="630" t="s">
        <v>93</v>
      </c>
      <c r="X162" s="630" t="s">
        <v>76</v>
      </c>
      <c r="Y162" s="640">
        <f t="shared" si="12"/>
        <v>150</v>
      </c>
      <c r="Z162" s="631">
        <v>10</v>
      </c>
      <c r="AA162" s="631">
        <v>104</v>
      </c>
      <c r="AB162" s="631">
        <v>9210</v>
      </c>
      <c r="AC162" s="169">
        <v>0.122</v>
      </c>
      <c r="AD162" s="169"/>
      <c r="AF162" s="62" t="s">
        <v>93</v>
      </c>
      <c r="AG162" s="62">
        <v>125</v>
      </c>
      <c r="AH162" s="62">
        <v>150</v>
      </c>
      <c r="AI162" s="62">
        <v>170</v>
      </c>
    </row>
    <row r="163" spans="19:35">
      <c r="S163" s="170"/>
      <c r="T163" s="631">
        <v>105</v>
      </c>
      <c r="U163" s="631">
        <f t="shared" si="13"/>
        <v>150.00000009999999</v>
      </c>
      <c r="V163" s="630" t="s">
        <v>942</v>
      </c>
      <c r="W163" s="630" t="s">
        <v>97</v>
      </c>
      <c r="X163" s="630" t="s">
        <v>76</v>
      </c>
      <c r="Y163" s="640">
        <f t="shared" si="12"/>
        <v>175</v>
      </c>
      <c r="Z163" s="631">
        <v>11</v>
      </c>
      <c r="AA163" s="631">
        <v>105</v>
      </c>
      <c r="AB163" s="631">
        <v>11245</v>
      </c>
      <c r="AC163" s="169">
        <v>9.6699999999999994E-2</v>
      </c>
      <c r="AD163" s="169"/>
      <c r="AF163" s="62" t="s">
        <v>97</v>
      </c>
      <c r="AG163" s="62">
        <v>145</v>
      </c>
      <c r="AH163" s="62">
        <v>175</v>
      </c>
      <c r="AI163" s="62">
        <v>195</v>
      </c>
    </row>
    <row r="164" spans="19:35">
      <c r="S164" s="170"/>
      <c r="T164" s="631">
        <v>106</v>
      </c>
      <c r="U164" s="631">
        <f t="shared" si="13"/>
        <v>175.00000009999999</v>
      </c>
      <c r="V164" s="630" t="s">
        <v>912</v>
      </c>
      <c r="W164" s="630" t="s">
        <v>101</v>
      </c>
      <c r="X164" s="630" t="s">
        <v>80</v>
      </c>
      <c r="Y164" s="640">
        <f t="shared" si="12"/>
        <v>200</v>
      </c>
      <c r="Z164" s="631">
        <v>12</v>
      </c>
      <c r="AA164" s="631">
        <v>106</v>
      </c>
      <c r="AB164" s="631">
        <v>13656</v>
      </c>
      <c r="AC164" s="169">
        <v>7.6600000000000001E-2</v>
      </c>
      <c r="AD164" s="169"/>
      <c r="AF164" s="62" t="s">
        <v>101</v>
      </c>
      <c r="AG164" s="62">
        <v>165</v>
      </c>
      <c r="AH164" s="62">
        <v>200</v>
      </c>
      <c r="AI164" s="62">
        <v>225</v>
      </c>
    </row>
    <row r="165" spans="19:35">
      <c r="S165" s="170"/>
      <c r="T165" s="631">
        <v>107</v>
      </c>
      <c r="U165" s="631">
        <f t="shared" si="13"/>
        <v>200.00000009999999</v>
      </c>
      <c r="V165" s="630" t="s">
        <v>943</v>
      </c>
      <c r="W165" s="630" t="s">
        <v>103</v>
      </c>
      <c r="X165" s="630" t="s">
        <v>80</v>
      </c>
      <c r="Y165" s="640">
        <f t="shared" si="12"/>
        <v>230</v>
      </c>
      <c r="Z165" s="631">
        <v>13</v>
      </c>
      <c r="AA165" s="631">
        <v>107</v>
      </c>
      <c r="AB165" s="631">
        <v>16392</v>
      </c>
      <c r="AC165" s="169">
        <v>6.08E-2</v>
      </c>
      <c r="AD165" s="169"/>
      <c r="AF165" s="62" t="s">
        <v>103</v>
      </c>
      <c r="AG165" s="62">
        <v>195</v>
      </c>
      <c r="AH165" s="62">
        <v>230</v>
      </c>
      <c r="AI165" s="62">
        <v>260</v>
      </c>
    </row>
    <row r="166" spans="19:35">
      <c r="S166" s="170"/>
      <c r="T166" s="631">
        <v>108</v>
      </c>
      <c r="U166" s="631">
        <f t="shared" si="13"/>
        <v>230.00000009999999</v>
      </c>
      <c r="V166" s="630" t="s">
        <v>944</v>
      </c>
      <c r="W166" s="630" t="s">
        <v>106</v>
      </c>
      <c r="X166" s="630" t="s">
        <v>80</v>
      </c>
      <c r="Y166" s="640">
        <f t="shared" si="12"/>
        <v>255</v>
      </c>
      <c r="Z166" s="631">
        <v>14</v>
      </c>
      <c r="AA166" s="631">
        <v>108</v>
      </c>
      <c r="AB166" s="631">
        <v>18311</v>
      </c>
      <c r="AC166" s="169">
        <v>5.1499999999999997E-2</v>
      </c>
      <c r="AD166" s="169"/>
      <c r="AF166" s="62" t="s">
        <v>106</v>
      </c>
      <c r="AG166" s="62">
        <v>215</v>
      </c>
      <c r="AH166" s="62">
        <v>255</v>
      </c>
      <c r="AI166" s="62">
        <v>290</v>
      </c>
    </row>
    <row r="167" spans="19:35">
      <c r="S167" s="170"/>
      <c r="T167" s="631">
        <v>109</v>
      </c>
      <c r="U167" s="631">
        <f t="shared" si="13"/>
        <v>255.00000009999999</v>
      </c>
      <c r="V167" s="630" t="s">
        <v>945</v>
      </c>
      <c r="W167" s="630" t="s">
        <v>112</v>
      </c>
      <c r="X167" s="630" t="s">
        <v>84</v>
      </c>
      <c r="Y167" s="640">
        <f t="shared" si="12"/>
        <v>310</v>
      </c>
      <c r="Z167" s="631">
        <v>16</v>
      </c>
      <c r="AA167" s="631">
        <v>109</v>
      </c>
      <c r="AB167" s="631">
        <v>22646</v>
      </c>
      <c r="AC167" s="169">
        <v>3.6700000000000003E-2</v>
      </c>
      <c r="AD167" s="169"/>
      <c r="AF167" s="57" t="s">
        <v>112</v>
      </c>
      <c r="AG167" s="57">
        <v>260</v>
      </c>
      <c r="AH167" s="57">
        <v>310</v>
      </c>
      <c r="AI167" s="57">
        <v>350</v>
      </c>
    </row>
    <row r="168" spans="19:35">
      <c r="S168" s="170"/>
      <c r="T168" s="633">
        <v>110</v>
      </c>
      <c r="U168" s="633">
        <f t="shared" si="13"/>
        <v>310.00000010000002</v>
      </c>
      <c r="V168" s="632" t="s">
        <v>877</v>
      </c>
      <c r="W168" s="632" t="s">
        <v>877</v>
      </c>
      <c r="X168" s="632" t="s">
        <v>877</v>
      </c>
      <c r="Y168" s="641">
        <f>Y167</f>
        <v>310</v>
      </c>
      <c r="Z168" s="633" t="s">
        <v>877</v>
      </c>
      <c r="AA168" s="633">
        <v>110</v>
      </c>
      <c r="AB168" s="642" t="s">
        <v>877</v>
      </c>
      <c r="AC168" s="642" t="s">
        <v>877</v>
      </c>
      <c r="AD168" s="169"/>
    </row>
    <row r="169" spans="19:35">
      <c r="S169" s="170"/>
      <c r="T169" s="166"/>
      <c r="U169" s="166"/>
      <c r="V169" s="635"/>
      <c r="W169" s="635"/>
      <c r="X169" s="635"/>
      <c r="Y169" s="166"/>
      <c r="Z169" s="166"/>
      <c r="AA169" s="166"/>
      <c r="AB169" s="166"/>
      <c r="AC169" s="166"/>
      <c r="AD169" s="169"/>
    </row>
    <row r="170" spans="19:35">
      <c r="S170" s="170"/>
      <c r="T170" s="166">
        <f>VLOOKUP(AA170,T158:AA168,1)</f>
        <v>100</v>
      </c>
      <c r="U170" s="166"/>
      <c r="V170" s="166" t="str">
        <f>VLOOKUP(Q155,U158:AB168,2)</f>
        <v>4-4-4-8</v>
      </c>
      <c r="W170" s="166" t="str">
        <f>VLOOKUP(Q155,U158:AB168,3)</f>
        <v>#4</v>
      </c>
      <c r="X170" s="166" t="str">
        <f>VLOOKUP(Q155,U158:AB168,4)</f>
        <v>#8</v>
      </c>
      <c r="Y170" s="166">
        <f>VLOOKUP(Q155,U158:AB168,5)</f>
        <v>85</v>
      </c>
      <c r="Z170" s="166">
        <f>VLOOKUP(Q155,U158:AB168,6)</f>
        <v>6</v>
      </c>
      <c r="AA170" s="166">
        <f>VLOOKUP(Q155,U158:AB168,7)</f>
        <v>100</v>
      </c>
      <c r="AB170" s="166">
        <f>VLOOKUP(Q155,U158:AB168,8)</f>
        <v>3830</v>
      </c>
      <c r="AC170" s="166">
        <f>VLOOKUP(Q155,U158:AC168,9)</f>
        <v>0.308</v>
      </c>
      <c r="AD170" s="169"/>
    </row>
    <row r="171" spans="19:35">
      <c r="S171" s="170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9"/>
    </row>
    <row r="172" spans="19:35">
      <c r="S172" s="170"/>
      <c r="T172" s="166"/>
      <c r="U172" s="166"/>
      <c r="V172" s="166" t="s">
        <v>916</v>
      </c>
      <c r="W172" s="166"/>
      <c r="X172" s="166"/>
      <c r="Y172" s="166"/>
      <c r="Z172" s="166"/>
      <c r="AA172" s="166" t="str">
        <f>CONCATENATE(V172,W172,X172,Y172)</f>
        <v xml:space="preserve"> MC CABLE</v>
      </c>
      <c r="AB172" s="166"/>
      <c r="AC172" s="166"/>
      <c r="AD172" s="169"/>
    </row>
    <row r="173" spans="19:35">
      <c r="S173" s="170"/>
      <c r="T173" s="166"/>
      <c r="U173" s="166"/>
      <c r="V173" s="166" t="s">
        <v>900</v>
      </c>
      <c r="W173" s="166" t="str">
        <f>W170</f>
        <v>#4</v>
      </c>
      <c r="X173" s="166" t="s">
        <v>903</v>
      </c>
      <c r="Y173" s="166" t="s">
        <v>12</v>
      </c>
      <c r="Z173" s="166" t="s">
        <v>12</v>
      </c>
      <c r="AA173" s="166" t="str">
        <f>CONCATENATE(V173,W173,X173,Y173,Z173)</f>
        <v xml:space="preserve"> 3-#4 CU  </v>
      </c>
      <c r="AB173" s="166"/>
      <c r="AC173" s="166"/>
      <c r="AD173" s="169"/>
    </row>
    <row r="174" spans="19:35">
      <c r="S174" s="170"/>
      <c r="T174" s="166"/>
      <c r="U174" s="166"/>
      <c r="V174" s="166" t="s">
        <v>901</v>
      </c>
      <c r="W174" s="166" t="str">
        <f>X170</f>
        <v>#8</v>
      </c>
      <c r="X174" s="166" t="s">
        <v>825</v>
      </c>
      <c r="Y174" s="166"/>
      <c r="Z174" s="166"/>
      <c r="AA174" s="166" t="str">
        <f>CONCATENATE(V174,W174,X174,Y174,Z174)</f>
        <v xml:space="preserve"> 1-#8 GND</v>
      </c>
      <c r="AB174" s="166"/>
      <c r="AC174" s="166"/>
      <c r="AD174" s="169"/>
    </row>
    <row r="175" spans="19:35">
      <c r="S175" s="636"/>
      <c r="T175" s="637"/>
      <c r="U175" s="637"/>
      <c r="V175" s="637"/>
      <c r="W175" s="637"/>
      <c r="X175" s="637"/>
      <c r="Y175" s="637"/>
      <c r="Z175" s="637"/>
      <c r="AA175" s="637"/>
      <c r="AB175" s="637"/>
      <c r="AC175" s="637"/>
      <c r="AD175" s="638"/>
    </row>
    <row r="177" spans="16:36">
      <c r="AJ177" s="1"/>
    </row>
    <row r="180" spans="16:36">
      <c r="S180" s="166" t="s">
        <v>927</v>
      </c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</row>
    <row r="181" spans="16:36">
      <c r="S181" s="634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4"/>
      <c r="AF181" s="24" t="s">
        <v>72</v>
      </c>
      <c r="AG181" s="1"/>
      <c r="AH181" s="1"/>
      <c r="AI181" s="1"/>
    </row>
    <row r="182" spans="16:36">
      <c r="P182" s="229" t="s">
        <v>48</v>
      </c>
      <c r="Q182" s="229">
        <f>B6</f>
        <v>57.9</v>
      </c>
      <c r="S182" s="170"/>
      <c r="T182" s="629" t="s">
        <v>875</v>
      </c>
      <c r="U182" s="629" t="s">
        <v>30</v>
      </c>
      <c r="V182" s="58" t="s">
        <v>68</v>
      </c>
      <c r="W182" s="58" t="s">
        <v>68</v>
      </c>
      <c r="X182" s="58" t="s">
        <v>471</v>
      </c>
      <c r="Y182" s="639" t="str">
        <f>IF($Q$183=60,AG182,IF($Q$183=75,AH182,IF($Q$183=90,AI182)))</f>
        <v>75 C</v>
      </c>
      <c r="Z182" s="58" t="s">
        <v>68</v>
      </c>
      <c r="AA182" s="629" t="s">
        <v>875</v>
      </c>
      <c r="AB182" s="58" t="s">
        <v>886</v>
      </c>
      <c r="AC182" s="58" t="s">
        <v>179</v>
      </c>
      <c r="AD182" s="169"/>
      <c r="AF182" s="58" t="s">
        <v>68</v>
      </c>
      <c r="AG182" s="58" t="s">
        <v>69</v>
      </c>
      <c r="AH182" s="58" t="s">
        <v>70</v>
      </c>
      <c r="AI182" s="58" t="s">
        <v>71</v>
      </c>
    </row>
    <row r="183" spans="16:36">
      <c r="P183" s="229" t="s">
        <v>905</v>
      </c>
      <c r="Q183" s="229">
        <f>B7</f>
        <v>75</v>
      </c>
      <c r="S183" s="170"/>
      <c r="T183" s="631" t="s">
        <v>876</v>
      </c>
      <c r="U183" s="631"/>
      <c r="V183" s="62" t="s">
        <v>38</v>
      </c>
      <c r="W183" s="62" t="s">
        <v>38</v>
      </c>
      <c r="X183" s="62" t="s">
        <v>38</v>
      </c>
      <c r="Y183" s="62" t="s">
        <v>48</v>
      </c>
      <c r="Z183" s="62" t="s">
        <v>38</v>
      </c>
      <c r="AA183" s="631" t="s">
        <v>876</v>
      </c>
      <c r="AB183" s="62" t="s">
        <v>887</v>
      </c>
      <c r="AC183" s="62" t="s">
        <v>182</v>
      </c>
      <c r="AD183" s="169"/>
      <c r="AF183" s="62" t="s">
        <v>38</v>
      </c>
      <c r="AG183" s="62" t="s">
        <v>48</v>
      </c>
      <c r="AH183" s="62" t="s">
        <v>48</v>
      </c>
      <c r="AI183" s="62" t="s">
        <v>48</v>
      </c>
    </row>
    <row r="184" spans="16:36">
      <c r="S184" s="170"/>
      <c r="T184" s="633"/>
      <c r="U184" s="633"/>
      <c r="V184" s="62" t="s">
        <v>74</v>
      </c>
      <c r="W184" s="62"/>
      <c r="X184" s="62"/>
      <c r="Y184" s="62" t="s">
        <v>77</v>
      </c>
      <c r="Z184" s="62" t="s">
        <v>390</v>
      </c>
      <c r="AA184" s="633"/>
      <c r="AB184" s="57"/>
      <c r="AC184" s="57" t="s">
        <v>60</v>
      </c>
      <c r="AD184" s="169"/>
      <c r="AF184" s="62" t="s">
        <v>74</v>
      </c>
      <c r="AG184" s="62" t="s">
        <v>60</v>
      </c>
      <c r="AH184" s="62" t="s">
        <v>60</v>
      </c>
      <c r="AI184" s="62" t="s">
        <v>60</v>
      </c>
    </row>
    <row r="185" spans="16:36">
      <c r="S185" s="170"/>
      <c r="T185" s="629">
        <v>100</v>
      </c>
      <c r="U185" s="629">
        <v>0</v>
      </c>
      <c r="V185" s="628" t="s">
        <v>928</v>
      </c>
      <c r="W185" s="628" t="s">
        <v>80</v>
      </c>
      <c r="X185" s="628" t="s">
        <v>173</v>
      </c>
      <c r="Y185" s="639">
        <f t="shared" ref="Y185:Y194" si="14">IF($Q$183=60,AG185,IF($Q$183=75,AH185,IF($Q$183=90,AI185)))</f>
        <v>85</v>
      </c>
      <c r="Z185" s="629">
        <v>6</v>
      </c>
      <c r="AA185" s="629">
        <v>100</v>
      </c>
      <c r="AB185" s="629">
        <v>3830</v>
      </c>
      <c r="AC185" s="169">
        <v>0.308</v>
      </c>
      <c r="AD185" s="169"/>
      <c r="AF185" s="62" t="s">
        <v>80</v>
      </c>
      <c r="AG185" s="62">
        <v>70</v>
      </c>
      <c r="AH185" s="62">
        <v>85</v>
      </c>
      <c r="AI185" s="62">
        <v>95</v>
      </c>
    </row>
    <row r="186" spans="16:36">
      <c r="S186" s="170"/>
      <c r="T186" s="631">
        <v>101</v>
      </c>
      <c r="U186" s="631">
        <f>Y185+0.0000001</f>
        <v>85.000000099999994</v>
      </c>
      <c r="V186" s="630" t="s">
        <v>929</v>
      </c>
      <c r="W186" s="630" t="s">
        <v>84</v>
      </c>
      <c r="X186" s="630" t="s">
        <v>76</v>
      </c>
      <c r="Y186" s="640">
        <f t="shared" si="14"/>
        <v>100</v>
      </c>
      <c r="Z186" s="631">
        <v>7</v>
      </c>
      <c r="AA186" s="631">
        <v>101</v>
      </c>
      <c r="AB186" s="631">
        <v>4820</v>
      </c>
      <c r="AC186" s="169">
        <v>0.245</v>
      </c>
      <c r="AD186" s="169"/>
      <c r="AF186" s="62" t="s">
        <v>84</v>
      </c>
      <c r="AG186" s="62">
        <v>85</v>
      </c>
      <c r="AH186" s="62">
        <v>100</v>
      </c>
      <c r="AI186" s="62">
        <v>110</v>
      </c>
    </row>
    <row r="187" spans="16:36">
      <c r="S187" s="170"/>
      <c r="T187" s="631">
        <v>102</v>
      </c>
      <c r="U187" s="631">
        <f t="shared" ref="U187:U193" si="15">Y186+0.0000001</f>
        <v>100.00000009999999</v>
      </c>
      <c r="V187" s="630" t="s">
        <v>930</v>
      </c>
      <c r="W187" s="630" t="s">
        <v>83</v>
      </c>
      <c r="X187" s="630" t="s">
        <v>76</v>
      </c>
      <c r="Y187" s="640">
        <f t="shared" si="14"/>
        <v>115</v>
      </c>
      <c r="Z187" s="631">
        <v>8</v>
      </c>
      <c r="AA187" s="631">
        <v>102</v>
      </c>
      <c r="AB187" s="631">
        <v>5989</v>
      </c>
      <c r="AC187" s="169">
        <v>0.19400000000000001</v>
      </c>
      <c r="AD187" s="169"/>
      <c r="AF187" s="62" t="s">
        <v>83</v>
      </c>
      <c r="AG187" s="62">
        <v>95</v>
      </c>
      <c r="AH187" s="62">
        <v>115</v>
      </c>
      <c r="AI187" s="62">
        <v>130</v>
      </c>
    </row>
    <row r="188" spans="16:36">
      <c r="S188" s="170"/>
      <c r="T188" s="631">
        <v>103</v>
      </c>
      <c r="U188" s="631">
        <f t="shared" si="15"/>
        <v>115.00000009999999</v>
      </c>
      <c r="V188" s="630" t="s">
        <v>931</v>
      </c>
      <c r="W188" s="630" t="s">
        <v>87</v>
      </c>
      <c r="X188" s="630" t="s">
        <v>76</v>
      </c>
      <c r="Y188" s="640">
        <f t="shared" si="14"/>
        <v>130</v>
      </c>
      <c r="Z188" s="631">
        <v>9</v>
      </c>
      <c r="AA188" s="631">
        <v>103</v>
      </c>
      <c r="AB188" s="631">
        <v>7454</v>
      </c>
      <c r="AC188" s="169">
        <v>0.154</v>
      </c>
      <c r="AD188" s="169"/>
      <c r="AF188" s="62" t="s">
        <v>87</v>
      </c>
      <c r="AG188" s="62">
        <v>110</v>
      </c>
      <c r="AH188" s="62">
        <v>130</v>
      </c>
      <c r="AI188" s="62">
        <v>150</v>
      </c>
    </row>
    <row r="189" spans="16:36">
      <c r="S189" s="170"/>
      <c r="T189" s="631">
        <v>104</v>
      </c>
      <c r="U189" s="631">
        <f t="shared" si="15"/>
        <v>130.00000009999999</v>
      </c>
      <c r="V189" s="630" t="s">
        <v>932</v>
      </c>
      <c r="W189" s="630" t="s">
        <v>93</v>
      </c>
      <c r="X189" s="630" t="s">
        <v>76</v>
      </c>
      <c r="Y189" s="640">
        <f t="shared" si="14"/>
        <v>150</v>
      </c>
      <c r="Z189" s="631">
        <v>10</v>
      </c>
      <c r="AA189" s="631">
        <v>104</v>
      </c>
      <c r="AB189" s="631">
        <v>9210</v>
      </c>
      <c r="AC189" s="169">
        <v>0.122</v>
      </c>
      <c r="AD189" s="169"/>
      <c r="AF189" s="62" t="s">
        <v>93</v>
      </c>
      <c r="AG189" s="62">
        <v>125</v>
      </c>
      <c r="AH189" s="62">
        <v>150</v>
      </c>
      <c r="AI189" s="62">
        <v>170</v>
      </c>
    </row>
    <row r="190" spans="16:36">
      <c r="S190" s="170"/>
      <c r="T190" s="631">
        <v>105</v>
      </c>
      <c r="U190" s="631">
        <f t="shared" si="15"/>
        <v>150.00000009999999</v>
      </c>
      <c r="V190" s="630" t="s">
        <v>933</v>
      </c>
      <c r="W190" s="630" t="s">
        <v>97</v>
      </c>
      <c r="X190" s="630" t="s">
        <v>76</v>
      </c>
      <c r="Y190" s="640">
        <f t="shared" si="14"/>
        <v>175</v>
      </c>
      <c r="Z190" s="631">
        <v>11</v>
      </c>
      <c r="AA190" s="631">
        <v>105</v>
      </c>
      <c r="AB190" s="631">
        <v>11245</v>
      </c>
      <c r="AC190" s="169">
        <v>9.6699999999999994E-2</v>
      </c>
      <c r="AD190" s="169"/>
      <c r="AF190" s="62" t="s">
        <v>97</v>
      </c>
      <c r="AG190" s="62">
        <v>145</v>
      </c>
      <c r="AH190" s="62">
        <v>175</v>
      </c>
      <c r="AI190" s="62">
        <v>195</v>
      </c>
    </row>
    <row r="191" spans="16:36">
      <c r="S191" s="170"/>
      <c r="T191" s="631">
        <v>106</v>
      </c>
      <c r="U191" s="631">
        <f t="shared" si="15"/>
        <v>175.00000009999999</v>
      </c>
      <c r="V191" s="630" t="s">
        <v>922</v>
      </c>
      <c r="W191" s="630" t="s">
        <v>101</v>
      </c>
      <c r="X191" s="630" t="s">
        <v>80</v>
      </c>
      <c r="Y191" s="640">
        <f t="shared" si="14"/>
        <v>200</v>
      </c>
      <c r="Z191" s="631">
        <v>12</v>
      </c>
      <c r="AA191" s="631">
        <v>106</v>
      </c>
      <c r="AB191" s="631">
        <v>13656</v>
      </c>
      <c r="AC191" s="169">
        <v>7.6600000000000001E-2</v>
      </c>
      <c r="AD191" s="169"/>
      <c r="AF191" s="62" t="s">
        <v>101</v>
      </c>
      <c r="AG191" s="62">
        <v>165</v>
      </c>
      <c r="AH191" s="62">
        <v>200</v>
      </c>
      <c r="AI191" s="62">
        <v>225</v>
      </c>
    </row>
    <row r="192" spans="16:36">
      <c r="S192" s="170"/>
      <c r="T192" s="631">
        <v>107</v>
      </c>
      <c r="U192" s="631">
        <f t="shared" si="15"/>
        <v>200.00000009999999</v>
      </c>
      <c r="V192" s="630" t="s">
        <v>934</v>
      </c>
      <c r="W192" s="630" t="s">
        <v>103</v>
      </c>
      <c r="X192" s="630" t="s">
        <v>80</v>
      </c>
      <c r="Y192" s="640">
        <f t="shared" si="14"/>
        <v>230</v>
      </c>
      <c r="Z192" s="631">
        <v>13</v>
      </c>
      <c r="AA192" s="631">
        <v>107</v>
      </c>
      <c r="AB192" s="631">
        <v>16392</v>
      </c>
      <c r="AC192" s="169">
        <v>6.08E-2</v>
      </c>
      <c r="AD192" s="169"/>
      <c r="AF192" s="62" t="s">
        <v>103</v>
      </c>
      <c r="AG192" s="62">
        <v>195</v>
      </c>
      <c r="AH192" s="62">
        <v>230</v>
      </c>
      <c r="AI192" s="62">
        <v>260</v>
      </c>
    </row>
    <row r="193" spans="19:35">
      <c r="S193" s="170"/>
      <c r="T193" s="631">
        <v>108</v>
      </c>
      <c r="U193" s="631">
        <f t="shared" si="15"/>
        <v>230.00000009999999</v>
      </c>
      <c r="V193" s="630" t="s">
        <v>935</v>
      </c>
      <c r="W193" s="630" t="s">
        <v>106</v>
      </c>
      <c r="X193" s="630" t="s">
        <v>80</v>
      </c>
      <c r="Y193" s="640">
        <f t="shared" si="14"/>
        <v>255</v>
      </c>
      <c r="Z193" s="631">
        <v>14</v>
      </c>
      <c r="AA193" s="631">
        <v>108</v>
      </c>
      <c r="AB193" s="631">
        <v>18311</v>
      </c>
      <c r="AC193" s="169">
        <v>5.1499999999999997E-2</v>
      </c>
      <c r="AD193" s="169"/>
      <c r="AF193" s="62" t="s">
        <v>106</v>
      </c>
      <c r="AG193" s="62">
        <v>215</v>
      </c>
      <c r="AH193" s="62">
        <v>255</v>
      </c>
      <c r="AI193" s="62">
        <v>290</v>
      </c>
    </row>
    <row r="194" spans="19:35">
      <c r="S194" s="170"/>
      <c r="T194" s="631">
        <v>109</v>
      </c>
      <c r="U194" s="631">
        <f>Y193+0.0000001</f>
        <v>255.00000009999999</v>
      </c>
      <c r="V194" s="630" t="s">
        <v>936</v>
      </c>
      <c r="W194" s="630" t="s">
        <v>112</v>
      </c>
      <c r="X194" s="630" t="s">
        <v>84</v>
      </c>
      <c r="Y194" s="640">
        <f t="shared" si="14"/>
        <v>310</v>
      </c>
      <c r="Z194" s="631">
        <v>16</v>
      </c>
      <c r="AA194" s="631">
        <v>109</v>
      </c>
      <c r="AB194" s="631">
        <v>22646</v>
      </c>
      <c r="AC194" s="169">
        <v>3.6700000000000003E-2</v>
      </c>
      <c r="AD194" s="169"/>
      <c r="AF194" s="57" t="s">
        <v>112</v>
      </c>
      <c r="AG194" s="57">
        <v>260</v>
      </c>
      <c r="AH194" s="57">
        <v>310</v>
      </c>
      <c r="AI194" s="57">
        <v>350</v>
      </c>
    </row>
    <row r="195" spans="19:35">
      <c r="S195" s="170"/>
      <c r="T195" s="633">
        <v>110</v>
      </c>
      <c r="U195" s="633">
        <f>Y194+0.0000001</f>
        <v>310.00000010000002</v>
      </c>
      <c r="V195" s="632" t="s">
        <v>877</v>
      </c>
      <c r="W195" s="632" t="s">
        <v>877</v>
      </c>
      <c r="X195" s="632" t="s">
        <v>877</v>
      </c>
      <c r="Y195" s="641">
        <f>Y194</f>
        <v>310</v>
      </c>
      <c r="Z195" s="633" t="s">
        <v>877</v>
      </c>
      <c r="AA195" s="633">
        <v>110</v>
      </c>
      <c r="AB195" s="642" t="s">
        <v>877</v>
      </c>
      <c r="AC195" s="642" t="s">
        <v>877</v>
      </c>
      <c r="AD195" s="169"/>
    </row>
    <row r="196" spans="19:35">
      <c r="S196" s="170"/>
      <c r="T196" s="166"/>
      <c r="U196" s="166"/>
      <c r="V196" s="635"/>
      <c r="W196" s="635"/>
      <c r="X196" s="635"/>
      <c r="Y196" s="166"/>
      <c r="Z196" s="166"/>
      <c r="AA196" s="166"/>
      <c r="AB196" s="166"/>
      <c r="AC196" s="166"/>
      <c r="AD196" s="169"/>
    </row>
    <row r="197" spans="19:35">
      <c r="S197" s="170"/>
      <c r="T197" s="166">
        <f>VLOOKUP(AA197,T185:AA195,1)</f>
        <v>100</v>
      </c>
      <c r="U197" s="166"/>
      <c r="V197" s="166" t="str">
        <f>VLOOKUP(Q182,U185:AB195,2)</f>
        <v>4-4-4-4-8</v>
      </c>
      <c r="W197" s="166" t="str">
        <f>VLOOKUP(Q182,U185:AB195,3)</f>
        <v>#4</v>
      </c>
      <c r="X197" s="166" t="str">
        <f>VLOOKUP(Q182,U185:AB195,4)</f>
        <v>#8</v>
      </c>
      <c r="Y197" s="166">
        <f>VLOOKUP(Q182,U185:AB195,5)</f>
        <v>85</v>
      </c>
      <c r="Z197" s="166">
        <f>VLOOKUP(Q182,U185:AB195,6)</f>
        <v>6</v>
      </c>
      <c r="AA197" s="166">
        <f>VLOOKUP(Q182,U185:AB195,7)</f>
        <v>100</v>
      </c>
      <c r="AB197" s="166">
        <f>VLOOKUP(Q182,U185:AB195,8)</f>
        <v>3830</v>
      </c>
      <c r="AC197" s="166">
        <f>VLOOKUP(Q182,U185:AC195,9)</f>
        <v>0.308</v>
      </c>
      <c r="AD197" s="169"/>
    </row>
    <row r="198" spans="19:35">
      <c r="S198" s="170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9"/>
    </row>
    <row r="199" spans="19:35">
      <c r="S199" s="170"/>
      <c r="T199" s="166"/>
      <c r="U199" s="166"/>
      <c r="V199" s="166" t="s">
        <v>916</v>
      </c>
      <c r="W199" s="166"/>
      <c r="X199" s="166"/>
      <c r="Y199" s="166"/>
      <c r="Z199" s="166"/>
      <c r="AA199" s="166" t="str">
        <f>CONCATENATE(V199,W199,X199,Y199)</f>
        <v xml:space="preserve"> MC CABLE</v>
      </c>
      <c r="AB199" s="166"/>
      <c r="AC199" s="166"/>
      <c r="AD199" s="169"/>
    </row>
    <row r="200" spans="19:35">
      <c r="S200" s="170"/>
      <c r="T200" s="166"/>
      <c r="U200" s="166"/>
      <c r="V200" s="166" t="s">
        <v>917</v>
      </c>
      <c r="W200" s="166" t="str">
        <f>W197</f>
        <v>#4</v>
      </c>
      <c r="X200" s="166" t="s">
        <v>903</v>
      </c>
      <c r="Y200" s="166" t="s">
        <v>12</v>
      </c>
      <c r="Z200" s="166" t="s">
        <v>12</v>
      </c>
      <c r="AA200" s="166" t="str">
        <f>CONCATENATE(V200,W200,X200,Y200,Z200)</f>
        <v xml:space="preserve"> 4-#4 CU  </v>
      </c>
      <c r="AB200" s="166"/>
      <c r="AC200" s="166"/>
      <c r="AD200" s="169"/>
    </row>
    <row r="201" spans="19:35">
      <c r="S201" s="170"/>
      <c r="T201" s="166"/>
      <c r="U201" s="166"/>
      <c r="V201" s="166" t="s">
        <v>901</v>
      </c>
      <c r="W201" s="166" t="str">
        <f>X197</f>
        <v>#8</v>
      </c>
      <c r="X201" s="166" t="s">
        <v>825</v>
      </c>
      <c r="Y201" s="166"/>
      <c r="Z201" s="166"/>
      <c r="AA201" s="166" t="str">
        <f>CONCATENATE(V201,W201,X201,Y201,Z201)</f>
        <v xml:space="preserve"> 1-#8 GND</v>
      </c>
      <c r="AB201" s="166"/>
      <c r="AC201" s="166"/>
      <c r="AD201" s="169"/>
    </row>
    <row r="202" spans="19:35">
      <c r="S202" s="636"/>
      <c r="T202" s="637"/>
      <c r="U202" s="637"/>
      <c r="V202" s="637"/>
      <c r="W202" s="637"/>
      <c r="X202" s="637"/>
      <c r="Y202" s="637"/>
      <c r="Z202" s="637"/>
      <c r="AA202" s="637"/>
      <c r="AB202" s="637"/>
      <c r="AC202" s="637"/>
      <c r="AD202" s="638"/>
    </row>
  </sheetData>
  <phoneticPr fontId="0" type="noConversion"/>
  <conditionalFormatting sqref="T9:AC17 Y6 Y29 Y54 Y82 X99 Y102 Y129 Y155 Y182">
    <cfRule type="expression" dxfId="294" priority="1" stopIfTrue="1">
      <formula>IF($T$19=$T6,TRUE,FALSE)</formula>
    </cfRule>
  </conditionalFormatting>
  <conditionalFormatting sqref="T32:AC41">
    <cfRule type="expression" dxfId="293" priority="2" stopIfTrue="1">
      <formula>IF($T$43=$T32,TRUE,FALSE)</formula>
    </cfRule>
  </conditionalFormatting>
  <conditionalFormatting sqref="T57:AC67">
    <cfRule type="expression" dxfId="292" priority="3" stopIfTrue="1">
      <formula>IF($T$69=$T57,TRUE,FALSE)</formula>
    </cfRule>
  </conditionalFormatting>
  <conditionalFormatting sqref="T85:AC88">
    <cfRule type="expression" dxfId="291" priority="4" stopIfTrue="1">
      <formula>IF($T$90=$T85,TRUE,FALSE)</formula>
    </cfRule>
  </conditionalFormatting>
  <conditionalFormatting sqref="T105:AC115">
    <cfRule type="expression" dxfId="290" priority="5" stopIfTrue="1">
      <formula>IF($T$117=$T105,TRUE,FALSE)</formula>
    </cfRule>
  </conditionalFormatting>
  <conditionalFormatting sqref="T132:AC142">
    <cfRule type="expression" dxfId="289" priority="6" stopIfTrue="1">
      <formula>IF($T$144=$T132,TRUE,FALSE)</formula>
    </cfRule>
  </conditionalFormatting>
  <conditionalFormatting sqref="T158:AC168">
    <cfRule type="expression" dxfId="288" priority="7" stopIfTrue="1">
      <formula>IF($T$170=$T158,TRUE,FALSE)</formula>
    </cfRule>
  </conditionalFormatting>
  <conditionalFormatting sqref="T185:AC195">
    <cfRule type="expression" dxfId="287" priority="8" stopIfTrue="1">
      <formula>IF($T$197=$T185,TRUE,FALSE)</formula>
    </cfRule>
  </conditionalFormatting>
  <conditionalFormatting sqref="C6:M13">
    <cfRule type="expression" dxfId="286" priority="9" stopIfTrue="1">
      <formula>IF($C6=1,TRUE,FALSE)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07"/>
  <sheetViews>
    <sheetView showGridLines="0" showRowColHeaders="0" showOutlineSymbols="0" workbookViewId="0">
      <selection activeCell="B1" sqref="B1"/>
    </sheetView>
  </sheetViews>
  <sheetFormatPr defaultColWidth="0" defaultRowHeight="12" customHeight="1" zeroHeight="1"/>
  <cols>
    <col min="1" max="1" width="2.33203125" style="1" customWidth="1"/>
    <col min="2" max="2" width="3.83203125" style="1" customWidth="1"/>
    <col min="3" max="3" width="11.83203125" style="1" customWidth="1"/>
    <col min="4" max="4" width="24.83203125" style="1" customWidth="1"/>
    <col min="5" max="7" width="2.83203125" style="1" customWidth="1"/>
    <col min="8" max="8" width="8.83203125" style="1" customWidth="1"/>
    <col min="9" max="9" width="3.83203125" style="1" customWidth="1"/>
    <col min="10" max="10" width="8.83203125" style="1" customWidth="1"/>
    <col min="11" max="13" width="2.83203125" style="1" customWidth="1"/>
    <col min="14" max="14" width="24.83203125" style="1" customWidth="1"/>
    <col min="15" max="15" width="11.83203125" style="1" customWidth="1"/>
    <col min="16" max="16" width="3.83203125" style="1" customWidth="1"/>
    <col min="17" max="17" width="2.33203125" style="1" customWidth="1"/>
    <col min="18" max="237" width="10.83203125" style="1" hidden="1" customWidth="1"/>
    <col min="238" max="16384" width="0" style="1" hidden="1"/>
  </cols>
  <sheetData>
    <row r="1" spans="2:22" ht="12" customHeight="1">
      <c r="C1" s="1" t="str">
        <f>IF(S2=888,"ERROR IN MAIN PANEL",IF(S3&gt;0,"ERROR IN SUB PANEL",IF(S2&gt;0,"PANEL SCHEDULE WILL NOT DISPLAY UNTIL ALL ERRORS ARE CORRECTED"," ")))</f>
        <v xml:space="preserve"> </v>
      </c>
    </row>
    <row r="2" spans="2:22" ht="12" customHeight="1">
      <c r="B2" s="2" t="s">
        <v>0</v>
      </c>
      <c r="C2" s="3"/>
      <c r="D2" s="3" t="str">
        <f>IF(ISBLANK(Input!D3)=TRUE," ",Input!D3)</f>
        <v>CP1</v>
      </c>
      <c r="E2" s="3"/>
      <c r="F2" s="3"/>
      <c r="G2" s="3"/>
      <c r="H2" s="4"/>
      <c r="I2" s="5"/>
      <c r="J2" s="6" t="s">
        <v>768</v>
      </c>
      <c r="K2" s="3"/>
      <c r="L2" s="3"/>
      <c r="M2" s="3"/>
      <c r="N2" s="6"/>
      <c r="O2" s="7"/>
      <c r="P2" s="5"/>
      <c r="S2" s="16">
        <f>Calcs!T6</f>
        <v>0</v>
      </c>
    </row>
    <row r="3" spans="2:22" ht="12" customHeight="1">
      <c r="B3" s="8" t="s">
        <v>6</v>
      </c>
      <c r="C3" s="3"/>
      <c r="D3" s="3" t="str">
        <f>IF(ISBLANK(Input!D4)=TRUE," ",Input!D4)</f>
        <v>MAIN PANEL</v>
      </c>
      <c r="E3" s="3"/>
      <c r="F3" s="9"/>
      <c r="G3" s="9"/>
      <c r="H3" s="10"/>
      <c r="I3" s="5"/>
      <c r="J3" s="6" t="str">
        <f>Input!J8</f>
        <v>NUMBER OF CONDUITS</v>
      </c>
      <c r="K3" s="3"/>
      <c r="L3" s="3"/>
      <c r="M3" s="3"/>
      <c r="N3" s="6"/>
      <c r="O3" s="7">
        <f>Input!O8</f>
        <v>1</v>
      </c>
      <c r="P3" s="5"/>
      <c r="S3" s="16">
        <f>Calcs!V4</f>
        <v>0</v>
      </c>
    </row>
    <row r="4" spans="2:22" ht="12" customHeight="1">
      <c r="B4" s="2" t="s">
        <v>1</v>
      </c>
      <c r="C4" s="3"/>
      <c r="D4" s="497"/>
      <c r="E4" s="11"/>
      <c r="F4" s="9"/>
      <c r="G4" s="9"/>
      <c r="H4" s="10">
        <f>IF(ISBLANK(Input!H5)=TRUE," ",Input!H5)</f>
        <v>84</v>
      </c>
      <c r="I4" s="5"/>
      <c r="J4" s="6" t="str">
        <f>Input!J9</f>
        <v>FEEDER CONDUIT</v>
      </c>
      <c r="K4" s="3"/>
      <c r="L4" s="3"/>
      <c r="M4" s="3"/>
      <c r="N4" s="6"/>
      <c r="O4" s="7" t="str">
        <f>Input!O9</f>
        <v>1 1/4''</v>
      </c>
      <c r="P4" s="5"/>
    </row>
    <row r="5" spans="2:22" ht="12" customHeight="1">
      <c r="B5" s="8" t="s">
        <v>10</v>
      </c>
      <c r="C5" s="3"/>
      <c r="D5" s="497"/>
      <c r="E5" s="11"/>
      <c r="F5" s="9"/>
      <c r="G5" s="9"/>
      <c r="H5" s="10">
        <f>IF(ISBLANK(Input!H6)=TRUE," ",Input!H6)</f>
        <v>240</v>
      </c>
      <c r="I5" s="5"/>
      <c r="J5" s="6" t="str">
        <f>Input!J10</f>
        <v>WIRE SIZE  L1</v>
      </c>
      <c r="K5" s="3"/>
      <c r="L5" s="3"/>
      <c r="M5" s="3"/>
      <c r="N5" s="6"/>
      <c r="O5" s="7" t="str">
        <f>Input!O10</f>
        <v>#4</v>
      </c>
      <c r="P5" s="5"/>
      <c r="S5" s="1" t="s">
        <v>770</v>
      </c>
    </row>
    <row r="6" spans="2:22" ht="12" customHeight="1">
      <c r="B6" s="8" t="s">
        <v>16</v>
      </c>
      <c r="C6" s="3"/>
      <c r="D6" s="497"/>
      <c r="E6" s="11"/>
      <c r="F6" s="9"/>
      <c r="G6" s="9"/>
      <c r="H6" s="10">
        <f>IF(ISBLANK(Input!H7)=TRUE," ",Input!H7)</f>
        <v>120</v>
      </c>
      <c r="I6" s="5"/>
      <c r="J6" s="6" t="str">
        <f>Input!J11</f>
        <v>WIRE SIZE  L2</v>
      </c>
      <c r="K6" s="3"/>
      <c r="L6" s="3"/>
      <c r="M6" s="3"/>
      <c r="N6" s="6" t="str">
        <f>Input!N11</f>
        <v xml:space="preserve"> </v>
      </c>
      <c r="O6" s="7" t="str">
        <f>Input!O11</f>
        <v>#4</v>
      </c>
      <c r="P6" s="5"/>
      <c r="S6" s="359">
        <f>IF(AND(Input!H8="3D",Input!O15="1-PHASE"),2,IF(AND(Input!O15="1-PHASE",'S-Input'!H8=1),1,IF(AND(Input!O15="3-PHASE",'S-Input'!H8&lt;&gt;1),3,0)))</f>
        <v>0</v>
      </c>
      <c r="T6" s="1">
        <f>IF(Input!O15="NONE",0,IF(AND(Input!H8&lt;&gt;1,Input!O15="3-PHASE"),2,IF(AND(Input!H8="3D",Input!O15="1-PHASE"),3,1)))</f>
        <v>0</v>
      </c>
    </row>
    <row r="7" spans="2:22" ht="12" customHeight="1">
      <c r="B7" s="8" t="s">
        <v>21</v>
      </c>
      <c r="C7" s="3"/>
      <c r="D7" s="497"/>
      <c r="E7" s="11"/>
      <c r="F7" s="9"/>
      <c r="G7" s="9"/>
      <c r="H7" s="10" t="str">
        <f>IF(ISBLANK(Input!H8)=TRUE," ",Input!H8)</f>
        <v>3Y</v>
      </c>
      <c r="I7" s="5"/>
      <c r="J7" s="6" t="str">
        <f>Input!J12</f>
        <v>WIRE SIZE  L3</v>
      </c>
      <c r="K7" s="3"/>
      <c r="L7" s="3"/>
      <c r="M7" s="3"/>
      <c r="N7" s="6"/>
      <c r="O7" s="7" t="str">
        <f>Input!O12</f>
        <v>#4</v>
      </c>
      <c r="P7" s="5"/>
      <c r="S7" s="359"/>
    </row>
    <row r="8" spans="2:22" ht="12" customHeight="1">
      <c r="B8" s="8" t="s">
        <v>769</v>
      </c>
      <c r="C8" s="3"/>
      <c r="D8" s="497"/>
      <c r="E8" s="11"/>
      <c r="F8" s="9"/>
      <c r="G8" s="9"/>
      <c r="H8" s="10">
        <f>Input!CY9</f>
        <v>57.9</v>
      </c>
      <c r="I8" s="5"/>
      <c r="J8" s="6" t="str">
        <f>Input!J13</f>
        <v>WIRE SIZE NEUTRAL</v>
      </c>
      <c r="K8" s="3"/>
      <c r="L8" s="3"/>
      <c r="M8" s="3"/>
      <c r="N8" s="6"/>
      <c r="O8" s="7" t="str">
        <f>Input!O13</f>
        <v>#4</v>
      </c>
      <c r="P8" s="5"/>
      <c r="R8" s="1" t="s">
        <v>826</v>
      </c>
      <c r="S8" s="359">
        <f>'S-Input'!DW39</f>
        <v>60</v>
      </c>
    </row>
    <row r="9" spans="2:22" ht="12" customHeight="1">
      <c r="B9" s="12" t="s">
        <v>766</v>
      </c>
      <c r="C9" s="3"/>
      <c r="D9" s="497"/>
      <c r="E9" s="11"/>
      <c r="F9" s="9"/>
      <c r="G9" s="9"/>
      <c r="H9" s="10" t="str">
        <f>IF(Input!H10="NONE","NONE","YES")</f>
        <v>YES</v>
      </c>
      <c r="I9" s="5"/>
      <c r="J9" s="6" t="str">
        <f>Input!J14</f>
        <v>WIRE SIZE GROUND</v>
      </c>
      <c r="K9" s="3"/>
      <c r="L9" s="3"/>
      <c r="M9" s="3"/>
      <c r="N9" s="6"/>
      <c r="O9" s="7" t="str">
        <f>Input!O14</f>
        <v>#8</v>
      </c>
      <c r="P9" s="5"/>
      <c r="R9" s="1" t="s">
        <v>529</v>
      </c>
      <c r="S9" s="359">
        <f>'S-Input'!DZ37</f>
        <v>0</v>
      </c>
      <c r="U9" s="1" t="s">
        <v>484</v>
      </c>
    </row>
    <row r="10" spans="2:22" ht="12" customHeight="1">
      <c r="B10" s="8" t="s">
        <v>767</v>
      </c>
      <c r="C10" s="3"/>
      <c r="D10" s="497"/>
      <c r="E10" s="11"/>
      <c r="F10" s="9"/>
      <c r="G10" s="9"/>
      <c r="H10" s="10" t="str">
        <f>IF(Input!H12="N","NONE","YES")</f>
        <v>YES</v>
      </c>
      <c r="I10" s="5"/>
      <c r="J10" s="6"/>
      <c r="K10" s="3"/>
      <c r="L10" s="3"/>
      <c r="M10" s="3"/>
      <c r="N10" s="6"/>
      <c r="O10" s="7"/>
      <c r="P10" s="5"/>
      <c r="S10" s="359" t="s">
        <v>363</v>
      </c>
      <c r="U10" s="1" t="s">
        <v>508</v>
      </c>
      <c r="V10" s="1">
        <f>'S-Input'!DX40</f>
        <v>60</v>
      </c>
    </row>
    <row r="11" spans="2:22" ht="12" customHeight="1">
      <c r="B11" s="8" t="str">
        <f>IF(Input!S6="NO"," ","AVAILABLE FAULT CURRENT AT THIS PANEL")</f>
        <v>AVAILABLE FAULT CURRENT AT THIS PANEL</v>
      </c>
      <c r="C11" s="3"/>
      <c r="D11" s="497"/>
      <c r="E11" s="11"/>
      <c r="F11" s="9"/>
      <c r="G11" s="9"/>
      <c r="H11" s="10" t="str">
        <f>IF(Input!S6="NO"," ",Input!O6)</f>
        <v>15,304</v>
      </c>
      <c r="I11" s="5"/>
      <c r="J11" s="6"/>
      <c r="K11" s="3"/>
      <c r="L11" s="3"/>
      <c r="M11" s="3"/>
      <c r="N11" s="3"/>
      <c r="O11" s="7"/>
      <c r="P11" s="5"/>
      <c r="S11" s="359" t="str">
        <f>IF(S6=1,"-2P","-3P")</f>
        <v>-3P</v>
      </c>
    </row>
    <row r="12" spans="2:22" ht="12" customHeight="1">
      <c r="B12" s="8" t="str">
        <f>IF(Input!H23="N","MAIN LUG ONLY",IF(Input!CZ54&lt;&gt;Input!CZ55,"FUSE SIZE AMPS ( L1 &amp; L3 )","MAIN BREAKER SIZE AMPS"))</f>
        <v>MAIN BREAKER SIZE AMPS</v>
      </c>
      <c r="C12" s="4"/>
      <c r="D12" s="497"/>
      <c r="E12" s="11"/>
      <c r="F12" s="9"/>
      <c r="G12" s="9"/>
      <c r="H12" s="10">
        <f>Input!H24</f>
        <v>60</v>
      </c>
      <c r="I12" s="5"/>
      <c r="J12" s="13" t="str">
        <f>IF(ISBLANK(Input!J17)=TRUE," ",Input!J17)</f>
        <v xml:space="preserve"> </v>
      </c>
      <c r="K12" s="3"/>
      <c r="L12" s="3"/>
      <c r="M12" s="3"/>
      <c r="N12" s="3"/>
      <c r="O12" s="4"/>
      <c r="P12" s="5"/>
      <c r="S12" s="359" t="str">
        <f>CONCATENATE(S9,S10,S11)</f>
        <v>0A-3P</v>
      </c>
      <c r="T12" s="359"/>
    </row>
    <row r="13" spans="2:22" ht="12" customHeight="1">
      <c r="B13" s="8" t="str">
        <f>IF(Input!H23="N"," ",IF(Input!CZ54&lt;&gt;Input!CZ55,"FUSE SIZE AMPS ( L2 )"," "))</f>
        <v xml:space="preserve"> </v>
      </c>
      <c r="C13" s="4"/>
      <c r="D13" s="497"/>
      <c r="E13" s="11"/>
      <c r="F13" s="9"/>
      <c r="G13" s="9"/>
      <c r="H13" s="125" t="str">
        <f>IF(B13=" "," ",Input!H25)</f>
        <v xml:space="preserve"> </v>
      </c>
      <c r="I13" s="5"/>
      <c r="J13" s="13" t="str">
        <f>IF(ISBLANK(Input!J18)=TRUE," ",Input!J18)</f>
        <v xml:space="preserve"> </v>
      </c>
      <c r="K13" s="3"/>
      <c r="L13" s="3"/>
      <c r="M13" s="3"/>
      <c r="N13" s="3"/>
      <c r="O13" s="3"/>
      <c r="P13" s="5"/>
      <c r="S13" s="359"/>
    </row>
    <row r="14" spans="2:22" ht="12" customHeight="1">
      <c r="B14" s="8"/>
      <c r="C14" s="4"/>
      <c r="D14" s="497"/>
      <c r="E14" s="11"/>
      <c r="F14" s="9"/>
      <c r="G14" s="9"/>
      <c r="H14" s="125"/>
      <c r="I14" s="5"/>
      <c r="J14" s="13" t="str">
        <f>IF(ISBLANK(Input!J19)=TRUE," ",Input!J19)</f>
        <v xml:space="preserve"> </v>
      </c>
      <c r="K14" s="3"/>
      <c r="L14" s="3"/>
      <c r="M14" s="3"/>
      <c r="N14" s="3"/>
      <c r="O14" s="3"/>
      <c r="P14" s="5"/>
      <c r="S14" s="359" t="s">
        <v>777</v>
      </c>
    </row>
    <row r="15" spans="2:22" ht="12" customHeight="1">
      <c r="B15" s="8"/>
      <c r="C15" s="4"/>
      <c r="D15" s="497"/>
      <c r="E15" s="11"/>
      <c r="F15" s="9"/>
      <c r="G15" s="9"/>
      <c r="H15" s="125"/>
      <c r="I15" s="5"/>
      <c r="J15" s="13" t="str">
        <f>IF(ISBLANK(Input!J20)=TRUE," ",Input!J20)</f>
        <v xml:space="preserve"> </v>
      </c>
      <c r="K15" s="3"/>
      <c r="L15" s="3"/>
      <c r="M15" s="3"/>
      <c r="N15" s="3"/>
      <c r="O15" s="3"/>
      <c r="P15" s="5"/>
      <c r="S15" s="359">
        <f>S9</f>
        <v>0</v>
      </c>
    </row>
    <row r="16" spans="2:22" ht="12" customHeight="1">
      <c r="B16" s="8"/>
      <c r="C16" s="4"/>
      <c r="D16" s="497"/>
      <c r="E16" s="11"/>
      <c r="F16" s="9"/>
      <c r="G16" s="9"/>
      <c r="H16" s="125"/>
      <c r="I16" s="5"/>
      <c r="J16" s="13" t="str">
        <f>IF(ISBLANK(Input!J21)=TRUE," ",Input!J21)</f>
        <v xml:space="preserve"> </v>
      </c>
      <c r="K16" s="3"/>
      <c r="L16" s="3"/>
      <c r="M16" s="3"/>
      <c r="N16" s="3"/>
      <c r="O16" s="3"/>
      <c r="P16" s="5"/>
      <c r="S16" s="1" t="s">
        <v>363</v>
      </c>
    </row>
    <row r="17" spans="2:19" ht="12" customHeight="1">
      <c r="B17" s="8"/>
      <c r="C17" s="4"/>
      <c r="D17" s="497"/>
      <c r="E17" s="11"/>
      <c r="F17" s="9"/>
      <c r="G17" s="9"/>
      <c r="H17" s="125"/>
      <c r="I17" s="5"/>
      <c r="J17" s="13" t="str">
        <f>IF(ISBLANK(Input!J22)=TRUE," ",Input!J22)</f>
        <v xml:space="preserve"> </v>
      </c>
      <c r="K17" s="3"/>
      <c r="L17" s="3"/>
      <c r="M17" s="3"/>
      <c r="N17" s="3"/>
      <c r="O17" s="3"/>
      <c r="P17" s="5"/>
      <c r="S17" s="1" t="str">
        <f>CONCATENATE(S14,S15,S16)</f>
        <v>FUSE HI-LEG AT 0A</v>
      </c>
    </row>
    <row r="18" spans="2:19" ht="12" customHeight="1">
      <c r="B18" s="8"/>
      <c r="C18" s="4"/>
      <c r="D18" s="497"/>
      <c r="E18" s="11"/>
      <c r="F18" s="9"/>
      <c r="G18" s="9"/>
      <c r="H18" s="125"/>
      <c r="I18" s="5"/>
      <c r="J18" s="13" t="str">
        <f>IF(ISBLANK(Input!J23)=TRUE," ",Input!J23)</f>
        <v xml:space="preserve"> </v>
      </c>
      <c r="K18" s="3"/>
      <c r="L18" s="3"/>
      <c r="M18" s="3"/>
      <c r="N18" s="3"/>
      <c r="O18" s="3"/>
      <c r="P18" s="5"/>
    </row>
    <row r="19" spans="2:19" ht="12" customHeight="1">
      <c r="B19" s="8"/>
      <c r="C19" s="4"/>
      <c r="D19" s="497"/>
      <c r="E19" s="11"/>
      <c r="F19" s="9"/>
      <c r="G19" s="9"/>
      <c r="H19" s="125"/>
      <c r="I19" s="5"/>
      <c r="J19" s="13" t="str">
        <f>IF(ISBLANK(Input!J24)=TRUE," ",Input!J24)</f>
        <v xml:space="preserve"> </v>
      </c>
      <c r="K19" s="3"/>
      <c r="L19" s="3"/>
      <c r="M19" s="3"/>
      <c r="N19" s="3"/>
      <c r="O19" s="3"/>
      <c r="P19" s="5"/>
      <c r="S19" s="611"/>
    </row>
    <row r="20" spans="2:19" ht="12" customHeight="1">
      <c r="B20" s="8"/>
      <c r="C20" s="4"/>
      <c r="D20" s="497"/>
      <c r="E20" s="11"/>
      <c r="F20" s="9"/>
      <c r="G20" s="9"/>
      <c r="H20" s="125"/>
      <c r="I20" s="5"/>
      <c r="J20" s="13" t="str">
        <f>IF(ISBLANK(Input!J25)=TRUE," ",Input!J25)</f>
        <v xml:space="preserve"> </v>
      </c>
      <c r="K20" s="3"/>
      <c r="L20" s="3"/>
      <c r="M20" s="3"/>
      <c r="N20" s="3"/>
      <c r="O20" s="3"/>
      <c r="P20" s="5"/>
    </row>
    <row r="21" spans="2:19" ht="12" customHeight="1">
      <c r="B21" s="14" t="str">
        <f>Input!B26</f>
        <v xml:space="preserve"> 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5" t="str">
        <f>Input!P26</f>
        <v/>
      </c>
      <c r="R21" s="16"/>
    </row>
    <row r="22" spans="2:19" ht="12" customHeight="1">
      <c r="B22" s="17" t="s">
        <v>88</v>
      </c>
      <c r="C22" s="18" t="s">
        <v>89</v>
      </c>
      <c r="D22" s="19" t="s">
        <v>52</v>
      </c>
      <c r="E22" s="18" t="str">
        <f>Input!E27</f>
        <v xml:space="preserve"> </v>
      </c>
      <c r="F22" s="18" t="s">
        <v>53</v>
      </c>
      <c r="G22" s="18" t="s">
        <v>54</v>
      </c>
      <c r="H22" s="20" t="s">
        <v>90</v>
      </c>
      <c r="I22" s="21"/>
      <c r="J22" s="21" t="s">
        <v>90</v>
      </c>
      <c r="K22" s="18" t="s">
        <v>54</v>
      </c>
      <c r="L22" s="18" t="s">
        <v>53</v>
      </c>
      <c r="M22" s="18" t="str">
        <f>Input!M27</f>
        <v xml:space="preserve"> </v>
      </c>
      <c r="N22" s="19" t="s">
        <v>52</v>
      </c>
      <c r="O22" s="18" t="s">
        <v>89</v>
      </c>
      <c r="P22" s="17" t="s">
        <v>88</v>
      </c>
    </row>
    <row r="23" spans="2:19" ht="12" customHeight="1">
      <c r="B23" s="17">
        <v>1</v>
      </c>
      <c r="C23" s="614" t="str">
        <f>IF(S6=2,'S-Input'!ED46,IF(S6=1,'S-Input'!ED46,IF(S6=3,'S-Input'!ED46,IF(ISBLANK(Input!C28)=TRUE," ",Input!C28))))</f>
        <v xml:space="preserve"> </v>
      </c>
      <c r="D23" s="613" t="str">
        <f>IF(S6&gt;0,"SUB PANEL",IF(ISBLANK(Input!D28)=TRUE," ",Input!D28))</f>
        <v xml:space="preserve"> </v>
      </c>
      <c r="E23" s="614" t="str">
        <f>IF(S6&gt;0," ",IF(ISBLANK(Input!E28)=TRUE," ",Input!E28))</f>
        <v xml:space="preserve"> </v>
      </c>
      <c r="F23" s="614" t="str">
        <f>IF(S6&gt;0," ",IF(ISBLANK(Input!F28)=TRUE," ",Input!F28))</f>
        <v xml:space="preserve"> </v>
      </c>
      <c r="G23" s="614" t="str">
        <f>IF(S6&gt;0," ",IF(ISBLANK(Input!G28)=TRUE," ",Input!G28))</f>
        <v>G</v>
      </c>
      <c r="H23" s="615">
        <f>IF(S6&gt;0,'S-Calcs'!V20,IF(ISBLANK(Input!H28)=TRUE," ",Input!H28))</f>
        <v>6000</v>
      </c>
      <c r="I23" s="21" t="str">
        <f>Input!I28</f>
        <v>L1</v>
      </c>
      <c r="J23" s="20">
        <f>IF(ISBLANK(Input!J28)=TRUE," ",Input!J28)</f>
        <v>1100</v>
      </c>
      <c r="K23" s="18" t="str">
        <f>IF(ISBLANK(Input!K28)=TRUE," ",Input!K28)</f>
        <v>G</v>
      </c>
      <c r="L23" s="18" t="str">
        <f>IF(ISBLANK(Input!L28)=TRUE," ",Input!L28)</f>
        <v xml:space="preserve"> </v>
      </c>
      <c r="M23" s="18" t="str">
        <f>IF(ISBLANK(Input!M28)=TRUE," ",Input!M28)</f>
        <v xml:space="preserve"> </v>
      </c>
      <c r="N23" s="19" t="str">
        <f>IF(ISBLANK(Input!N28)=TRUE," ",Input!N28)</f>
        <v>LIGHTS</v>
      </c>
      <c r="O23" s="18" t="str">
        <f>IF(ISBLANK(Input!O28)=TRUE," ",Input!O28)</f>
        <v>20A-1P</v>
      </c>
      <c r="P23" s="17">
        <v>2</v>
      </c>
      <c r="S23" s="1">
        <f>Input!T28</f>
        <v>1</v>
      </c>
    </row>
    <row r="24" spans="2:19" ht="12" customHeight="1">
      <c r="B24" s="17">
        <v>3</v>
      </c>
      <c r="C24" s="614" t="str">
        <f>IF(S6=2,'S-Input'!EE46,IF(S6=1,'S-Input'!EE46,IF(S6=3,'S-Input'!EE46,IF(ISBLANK(Input!C29)=TRUE," ",Input!C29))))</f>
        <v xml:space="preserve"> </v>
      </c>
      <c r="D24" s="613" t="str">
        <f>IF(AND('S-Input'!H8="3D",'S-Input'!H10="AUTO",'S-Input'!DX37&lt;'S-Input'!DW37,'S-Input'!CX55&lt;'S-Input'!CX54),S17,IF(AND(Input!H8="3D",Input!O15="1-PHASE"),"HI-LEG NOT USED",IF(S6&gt;0,'S-Input'!D3,IF(ISBLANK(Input!D29)=TRUE," ",Input!D29))))</f>
        <v xml:space="preserve"> </v>
      </c>
      <c r="E24" s="614" t="str">
        <f>IF(S6&gt;0," ",IF(ISBLANK(Input!E29)=TRUE," ",Input!E29))</f>
        <v xml:space="preserve"> </v>
      </c>
      <c r="F24" s="614" t="str">
        <f>IF(S6&gt;0," ",IF(ISBLANK(Input!F29)=TRUE," ",Input!F29))</f>
        <v xml:space="preserve"> </v>
      </c>
      <c r="G24" s="614" t="str">
        <f>IF(S6&gt;0," ",IF(ISBLANK(Input!G29)=TRUE," ",Input!G29))</f>
        <v>G</v>
      </c>
      <c r="H24" s="615">
        <f>IF(S6=2,0,IF(S6=3,'S-Calcs'!V21,IF(S6=1,'S-Calcs'!V21,IF(ISBLANK(Input!H29)=TRUE," ",Input!H29))))</f>
        <v>6000</v>
      </c>
      <c r="I24" s="21" t="str">
        <f>Input!I29</f>
        <v>L2</v>
      </c>
      <c r="J24" s="20">
        <f>IF(ISBLANK(Input!J29)=TRUE," ",Input!J29)</f>
        <v>1100</v>
      </c>
      <c r="K24" s="18" t="str">
        <f>IF(ISBLANK(Input!K29)=TRUE," ",Input!K29)</f>
        <v>G</v>
      </c>
      <c r="L24" s="18" t="str">
        <f>IF(ISBLANK(Input!L29)=TRUE," ",Input!L29)</f>
        <v xml:space="preserve"> </v>
      </c>
      <c r="M24" s="18" t="str">
        <f>IF(ISBLANK(Input!M29)=TRUE," ",Input!M29)</f>
        <v xml:space="preserve"> </v>
      </c>
      <c r="N24" s="19" t="str">
        <f>IF(ISBLANK(Input!N29)=TRUE," ",Input!N29)</f>
        <v>LIGHTS</v>
      </c>
      <c r="O24" s="18" t="str">
        <f>IF(ISBLANK(Input!O29)=TRUE," ",Input!O29)</f>
        <v>20A-1P</v>
      </c>
      <c r="P24" s="17">
        <v>4</v>
      </c>
      <c r="S24" s="1">
        <f>Input!T29</f>
        <v>1</v>
      </c>
    </row>
    <row r="25" spans="2:19" ht="12" customHeight="1">
      <c r="B25" s="17">
        <v>5</v>
      </c>
      <c r="C25" s="614" t="str">
        <f>IF(S6=2,'S-Input'!EF46,IF(S6=3,'S-Input'!EF46,IF(ISBLANK(Input!C30)=TRUE," ",Input!C30)))</f>
        <v xml:space="preserve"> </v>
      </c>
      <c r="D25" s="613" t="str">
        <f>IF(AND(S6=3,'S-Input'!H8="3D"),'S-Input'!D3,IF(S6=2,'S-Input'!D3,IF(S6=3,"SUB PANEL",IF(ISBLANK(Input!D30)=TRUE," ",Input!D30))))</f>
        <v xml:space="preserve"> </v>
      </c>
      <c r="E25" s="614" t="str">
        <f>IF(S6&gt;1," ",IF(ISBLANK(Input!E30)=TRUE," ",Input!E30))</f>
        <v xml:space="preserve"> </v>
      </c>
      <c r="F25" s="614" t="str">
        <f>IF(S6&gt;1," ",IF(ISBLANK(Input!F30)=TRUE," ",Input!F30))</f>
        <v xml:space="preserve"> </v>
      </c>
      <c r="G25" s="614" t="str">
        <f>IF(S6&gt;1," ",IF(ISBLANK(Input!G30)=TRUE," ",Input!G30))</f>
        <v>G</v>
      </c>
      <c r="H25" s="615" t="str">
        <f>IF(S6&gt;1,'S-Calcs'!V22,IF(ISBLANK(Input!H30)=TRUE," ",Input!H30))</f>
        <v xml:space="preserve"> </v>
      </c>
      <c r="I25" s="21" t="str">
        <f>Input!I30</f>
        <v>L3</v>
      </c>
      <c r="J25" s="20">
        <f>IF(ISBLANK(Input!J30)=TRUE," ",Input!J30)</f>
        <v>1100</v>
      </c>
      <c r="K25" s="18" t="str">
        <f>IF(ISBLANK(Input!K30)=TRUE," ",Input!K30)</f>
        <v>G</v>
      </c>
      <c r="L25" s="18" t="str">
        <f>IF(ISBLANK(Input!L30)=TRUE," ",Input!L30)</f>
        <v xml:space="preserve"> </v>
      </c>
      <c r="M25" s="18" t="str">
        <f>IF(ISBLANK(Input!M30)=TRUE," ",Input!M30)</f>
        <v xml:space="preserve"> </v>
      </c>
      <c r="N25" s="19" t="str">
        <f>IF(ISBLANK(Input!N30)=TRUE," ",Input!N30)</f>
        <v>LIGHTS</v>
      </c>
      <c r="O25" s="18" t="str">
        <f>IF(ISBLANK(Input!O30)=TRUE," ",Input!O30)</f>
        <v>20A-1P</v>
      </c>
      <c r="P25" s="17">
        <v>6</v>
      </c>
      <c r="S25" s="1">
        <f>Input!T30</f>
        <v>1</v>
      </c>
    </row>
    <row r="26" spans="2:19" ht="12" customHeight="1">
      <c r="B26" s="17">
        <v>7</v>
      </c>
      <c r="C26" s="18" t="str">
        <f>IF(ISBLANK(Input!C31)=TRUE," ",Input!C31)</f>
        <v xml:space="preserve"> </v>
      </c>
      <c r="D26" s="19" t="str">
        <f>IF(ISBLANK(Input!D31)=TRUE," ",Input!D31)</f>
        <v xml:space="preserve"> </v>
      </c>
      <c r="E26" s="18" t="str">
        <f>IF(ISBLANK(Input!E31)=TRUE," ",Input!E31)</f>
        <v xml:space="preserve"> </v>
      </c>
      <c r="F26" s="18" t="str">
        <f>IF(ISBLANK(Input!F31)=TRUE," ",Input!F31)</f>
        <v xml:space="preserve"> </v>
      </c>
      <c r="G26" s="18" t="str">
        <f>IF(ISBLANK(Input!G31)=TRUE," ",Input!G31)</f>
        <v>G</v>
      </c>
      <c r="H26" s="20" t="str">
        <f>IF(ISBLANK(Input!H31)=TRUE," ",Input!H31)</f>
        <v xml:space="preserve"> </v>
      </c>
      <c r="I26" s="21" t="str">
        <f>Input!I31</f>
        <v>L1</v>
      </c>
      <c r="J26" s="20" t="str">
        <f>IF(ISBLANK(Input!J31)=TRUE," ",Input!J31)</f>
        <v xml:space="preserve"> </v>
      </c>
      <c r="K26" s="18" t="str">
        <f>IF(ISBLANK(Input!K31)=TRUE," ",Input!K31)</f>
        <v>G</v>
      </c>
      <c r="L26" s="18" t="str">
        <f>IF(ISBLANK(Input!L31)=TRUE," ",Input!L31)</f>
        <v xml:space="preserve"> </v>
      </c>
      <c r="M26" s="18" t="str">
        <f>IF(ISBLANK(Input!M31)=TRUE," ",Input!M31)</f>
        <v xml:space="preserve"> </v>
      </c>
      <c r="N26" s="19" t="str">
        <f>IF(ISBLANK(Input!N31)=TRUE," ",Input!N31)</f>
        <v xml:space="preserve"> </v>
      </c>
      <c r="O26" s="18" t="str">
        <f>IF(ISBLANK(Input!O31)=TRUE," ",Input!O31)</f>
        <v xml:space="preserve"> </v>
      </c>
      <c r="P26" s="17">
        <v>8</v>
      </c>
      <c r="S26" s="1">
        <f>Input!T31</f>
        <v>1</v>
      </c>
    </row>
    <row r="27" spans="2:19" ht="12" customHeight="1">
      <c r="B27" s="17">
        <v>9</v>
      </c>
      <c r="C27" s="18" t="str">
        <f>IF(ISBLANK(Input!C32)=TRUE," ",Input!C32)</f>
        <v xml:space="preserve"> </v>
      </c>
      <c r="D27" s="19" t="str">
        <f>IF(ISBLANK(Input!D32)=TRUE," ",Input!D32)</f>
        <v xml:space="preserve"> </v>
      </c>
      <c r="E27" s="18" t="str">
        <f>IF(ISBLANK(Input!E32)=TRUE," ",Input!E32)</f>
        <v xml:space="preserve"> </v>
      </c>
      <c r="F27" s="18" t="str">
        <f>IF(ISBLANK(Input!F32)=TRUE," ",Input!F32)</f>
        <v xml:space="preserve"> </v>
      </c>
      <c r="G27" s="18" t="str">
        <f>IF(ISBLANK(Input!G32)=TRUE," ",Input!G32)</f>
        <v>G</v>
      </c>
      <c r="H27" s="20" t="str">
        <f>IF(ISBLANK(Input!H32)=TRUE," ",Input!H32)</f>
        <v xml:space="preserve"> </v>
      </c>
      <c r="I27" s="21" t="str">
        <f>Input!I32</f>
        <v>L2</v>
      </c>
      <c r="J27" s="20" t="str">
        <f>IF(ISBLANK(Input!J32)=TRUE," ",Input!J32)</f>
        <v xml:space="preserve"> </v>
      </c>
      <c r="K27" s="18" t="str">
        <f>IF(ISBLANK(Input!K32)=TRUE," ",Input!K32)</f>
        <v>G</v>
      </c>
      <c r="L27" s="18" t="str">
        <f>IF(ISBLANK(Input!L32)=TRUE," ",Input!L32)</f>
        <v xml:space="preserve"> </v>
      </c>
      <c r="M27" s="18" t="str">
        <f>IF(ISBLANK(Input!M32)=TRUE," ",Input!M32)</f>
        <v xml:space="preserve"> </v>
      </c>
      <c r="N27" s="19" t="str">
        <f>IF(ISBLANK(Input!N32)=TRUE," ",Input!N32)</f>
        <v xml:space="preserve"> </v>
      </c>
      <c r="O27" s="18" t="str">
        <f>IF(ISBLANK(Input!O32)=TRUE," ",Input!O32)</f>
        <v xml:space="preserve"> </v>
      </c>
      <c r="P27" s="17">
        <v>10</v>
      </c>
      <c r="S27" s="1">
        <f>Input!T32</f>
        <v>1</v>
      </c>
    </row>
    <row r="28" spans="2:19" ht="12" customHeight="1">
      <c r="B28" s="17">
        <v>11</v>
      </c>
      <c r="C28" s="18" t="str">
        <f>IF(ISBLANK(Input!C33)=TRUE," ",Input!C33)</f>
        <v xml:space="preserve"> </v>
      </c>
      <c r="D28" s="19" t="str">
        <f>IF(ISBLANK(Input!D33)=TRUE," ",Input!D33)</f>
        <v xml:space="preserve"> </v>
      </c>
      <c r="E28" s="18" t="str">
        <f>IF(ISBLANK(Input!E33)=TRUE," ",Input!E33)</f>
        <v xml:space="preserve"> </v>
      </c>
      <c r="F28" s="18" t="str">
        <f>IF(ISBLANK(Input!F33)=TRUE," ",Input!F33)</f>
        <v xml:space="preserve"> </v>
      </c>
      <c r="G28" s="18" t="str">
        <f>IF(ISBLANK(Input!G33)=TRUE," ",Input!G33)</f>
        <v>G</v>
      </c>
      <c r="H28" s="20" t="str">
        <f>IF(ISBLANK(Input!H33)=TRUE," ",Input!H33)</f>
        <v xml:space="preserve"> </v>
      </c>
      <c r="I28" s="21" t="str">
        <f>Input!I33</f>
        <v>L3</v>
      </c>
      <c r="J28" s="20" t="str">
        <f>IF(ISBLANK(Input!J33)=TRUE," ",Input!J33)</f>
        <v xml:space="preserve"> </v>
      </c>
      <c r="K28" s="18" t="str">
        <f>IF(ISBLANK(Input!K33)=TRUE," ",Input!K33)</f>
        <v>G</v>
      </c>
      <c r="L28" s="18" t="str">
        <f>IF(ISBLANK(Input!L33)=TRUE," ",Input!L33)</f>
        <v xml:space="preserve"> </v>
      </c>
      <c r="M28" s="18" t="str">
        <f>IF(ISBLANK(Input!M33)=TRUE," ",Input!M33)</f>
        <v xml:space="preserve"> </v>
      </c>
      <c r="N28" s="19" t="str">
        <f>IF(ISBLANK(Input!N33)=TRUE," ",Input!N33)</f>
        <v xml:space="preserve"> </v>
      </c>
      <c r="O28" s="18" t="str">
        <f>IF(ISBLANK(Input!O33)=TRUE," ",Input!O33)</f>
        <v xml:space="preserve"> </v>
      </c>
      <c r="P28" s="17">
        <v>12</v>
      </c>
      <c r="S28" s="1">
        <f>Input!T33</f>
        <v>1</v>
      </c>
    </row>
    <row r="29" spans="2:19" ht="12" customHeight="1">
      <c r="B29" s="17">
        <v>13</v>
      </c>
      <c r="C29" s="18" t="str">
        <f>IF(ISBLANK(Input!C34)=TRUE," ",Input!C34)</f>
        <v xml:space="preserve"> </v>
      </c>
      <c r="D29" s="19" t="str">
        <f>IF(ISBLANK(Input!D34)=TRUE," ",Input!D34)</f>
        <v xml:space="preserve"> </v>
      </c>
      <c r="E29" s="18" t="str">
        <f>IF(ISBLANK(Input!E34)=TRUE," ",Input!E34)</f>
        <v xml:space="preserve"> </v>
      </c>
      <c r="F29" s="18" t="str">
        <f>IF(ISBLANK(Input!F34)=TRUE," ",Input!F34)</f>
        <v xml:space="preserve"> </v>
      </c>
      <c r="G29" s="18" t="str">
        <f>IF(ISBLANK(Input!G34)=TRUE," ",Input!G34)</f>
        <v>G</v>
      </c>
      <c r="H29" s="20" t="str">
        <f>IF(ISBLANK(Input!H34)=TRUE," ",Input!H34)</f>
        <v xml:space="preserve"> </v>
      </c>
      <c r="I29" s="21" t="str">
        <f>Input!I34</f>
        <v>L1</v>
      </c>
      <c r="J29" s="20" t="str">
        <f>IF(ISBLANK(Input!J34)=TRUE," ",Input!J34)</f>
        <v xml:space="preserve"> </v>
      </c>
      <c r="K29" s="18" t="str">
        <f>IF(ISBLANK(Input!K34)=TRUE," ",Input!K34)</f>
        <v>G</v>
      </c>
      <c r="L29" s="18" t="str">
        <f>IF(ISBLANK(Input!L34)=TRUE," ",Input!L34)</f>
        <v xml:space="preserve"> </v>
      </c>
      <c r="M29" s="18" t="str">
        <f>IF(ISBLANK(Input!M34)=TRUE," ",Input!M34)</f>
        <v xml:space="preserve"> </v>
      </c>
      <c r="N29" s="19" t="str">
        <f>IF(ISBLANK(Input!N34)=TRUE," ",Input!N34)</f>
        <v xml:space="preserve"> PINK CELLS ARE</v>
      </c>
      <c r="O29" s="18" t="str">
        <f>IF(ISBLANK(Input!O34)=TRUE," ",Input!O34)</f>
        <v xml:space="preserve"> </v>
      </c>
      <c r="P29" s="17">
        <v>14</v>
      </c>
      <c r="S29" s="1">
        <f>Input!T34</f>
        <v>1</v>
      </c>
    </row>
    <row r="30" spans="2:19" ht="12" customHeight="1">
      <c r="B30" s="17">
        <v>15</v>
      </c>
      <c r="C30" s="18" t="str">
        <f>IF(ISBLANK(Input!C35)=TRUE," ",Input!C35)</f>
        <v xml:space="preserve"> </v>
      </c>
      <c r="D30" s="19" t="str">
        <f>IF(ISBLANK(Input!D35)=TRUE," ",Input!D35)</f>
        <v xml:space="preserve"> </v>
      </c>
      <c r="E30" s="18" t="str">
        <f>IF(ISBLANK(Input!E35)=TRUE," ",Input!E35)</f>
        <v xml:space="preserve"> </v>
      </c>
      <c r="F30" s="18" t="str">
        <f>IF(ISBLANK(Input!F35)=TRUE," ",Input!F35)</f>
        <v xml:space="preserve"> </v>
      </c>
      <c r="G30" s="18" t="str">
        <f>IF(ISBLANK(Input!G35)=TRUE," ",Input!G35)</f>
        <v>G</v>
      </c>
      <c r="H30" s="20" t="str">
        <f>IF(ISBLANK(Input!H35)=TRUE," ",Input!H35)</f>
        <v xml:space="preserve"> </v>
      </c>
      <c r="I30" s="21" t="str">
        <f>Input!I35</f>
        <v>L2</v>
      </c>
      <c r="J30" s="20" t="str">
        <f>IF(ISBLANK(Input!J35)=TRUE," ",Input!J35)</f>
        <v xml:space="preserve"> </v>
      </c>
      <c r="K30" s="18" t="str">
        <f>IF(ISBLANK(Input!K35)=TRUE," ",Input!K35)</f>
        <v>G</v>
      </c>
      <c r="L30" s="18" t="str">
        <f>IF(ISBLANK(Input!L35)=TRUE," ",Input!L35)</f>
        <v xml:space="preserve"> </v>
      </c>
      <c r="M30" s="18" t="str">
        <f>IF(ISBLANK(Input!M35)=TRUE," ",Input!M35)</f>
        <v xml:space="preserve"> </v>
      </c>
      <c r="N30" s="19" t="str">
        <f>IF(ISBLANK(Input!N35)=TRUE," ",Input!N35)</f>
        <v>PROTECTED IN DEMO</v>
      </c>
      <c r="O30" s="18" t="str">
        <f>IF(ISBLANK(Input!O35)=TRUE," ",Input!O35)</f>
        <v xml:space="preserve"> </v>
      </c>
      <c r="P30" s="17">
        <v>16</v>
      </c>
      <c r="S30" s="1">
        <f>Input!T35</f>
        <v>1</v>
      </c>
    </row>
    <row r="31" spans="2:19" ht="12" customHeight="1">
      <c r="B31" s="17">
        <v>17</v>
      </c>
      <c r="C31" s="18" t="str">
        <f>IF(ISBLANK(Input!C36)=TRUE," ",Input!C36)</f>
        <v xml:space="preserve"> </v>
      </c>
      <c r="D31" s="19" t="str">
        <f>IF(ISBLANK(Input!D36)=TRUE," ",Input!D36)</f>
        <v xml:space="preserve"> </v>
      </c>
      <c r="E31" s="18" t="str">
        <f>IF(ISBLANK(Input!E36)=TRUE," ",Input!E36)</f>
        <v xml:space="preserve"> </v>
      </c>
      <c r="F31" s="18" t="str">
        <f>IF(ISBLANK(Input!F36)=TRUE," ",Input!F36)</f>
        <v xml:space="preserve"> </v>
      </c>
      <c r="G31" s="18" t="str">
        <f>IF(ISBLANK(Input!G36)=TRUE," ",Input!G36)</f>
        <v>G</v>
      </c>
      <c r="H31" s="20" t="str">
        <f>IF(ISBLANK(Input!H36)=TRUE," ",Input!H36)</f>
        <v xml:space="preserve"> </v>
      </c>
      <c r="I31" s="21" t="str">
        <f>Input!I36</f>
        <v>L3</v>
      </c>
      <c r="J31" s="20" t="str">
        <f>IF(ISBLANK(Input!J36)=TRUE," ",Input!J36)</f>
        <v xml:space="preserve"> </v>
      </c>
      <c r="K31" s="18" t="str">
        <f>IF(ISBLANK(Input!K36)=TRUE," ",Input!K36)</f>
        <v>G</v>
      </c>
      <c r="L31" s="18" t="str">
        <f>IF(ISBLANK(Input!L36)=TRUE," ",Input!L36)</f>
        <v xml:space="preserve"> </v>
      </c>
      <c r="M31" s="18" t="str">
        <f>IF(ISBLANK(Input!M36)=TRUE," ",Input!M36)</f>
        <v xml:space="preserve"> </v>
      </c>
      <c r="N31" s="19" t="str">
        <f>IF(ISBLANK(Input!N36)=TRUE," ",Input!N36)</f>
        <v xml:space="preserve"> </v>
      </c>
      <c r="O31" s="18" t="str">
        <f>IF(ISBLANK(Input!O36)=TRUE," ",Input!O36)</f>
        <v xml:space="preserve"> </v>
      </c>
      <c r="P31" s="17">
        <v>18</v>
      </c>
      <c r="S31" s="1">
        <f>Input!T36</f>
        <v>1</v>
      </c>
    </row>
    <row r="32" spans="2:19" ht="12" customHeight="1">
      <c r="B32" s="17">
        <v>19</v>
      </c>
      <c r="C32" s="18" t="str">
        <f>IF(ISBLANK(Input!C37)=TRUE," ",Input!C37)</f>
        <v xml:space="preserve"> </v>
      </c>
      <c r="D32" s="19" t="str">
        <f>IF(ISBLANK(Input!D37)=TRUE," ",Input!D37)</f>
        <v xml:space="preserve"> </v>
      </c>
      <c r="E32" s="18" t="str">
        <f>IF(ISBLANK(Input!E37)=TRUE," ",Input!E37)</f>
        <v xml:space="preserve"> </v>
      </c>
      <c r="F32" s="18" t="str">
        <f>IF(ISBLANK(Input!F37)=TRUE," ",Input!F37)</f>
        <v xml:space="preserve"> </v>
      </c>
      <c r="G32" s="18" t="str">
        <f>IF(ISBLANK(Input!G37)=TRUE," ",Input!G37)</f>
        <v>G</v>
      </c>
      <c r="H32" s="20" t="str">
        <f>IF(ISBLANK(Input!H37)=TRUE," ",Input!H37)</f>
        <v xml:space="preserve"> </v>
      </c>
      <c r="I32" s="21" t="str">
        <f>Input!I37</f>
        <v>L1</v>
      </c>
      <c r="J32" s="20" t="str">
        <f>IF(ISBLANK(Input!J37)=TRUE," ",Input!J37)</f>
        <v xml:space="preserve"> </v>
      </c>
      <c r="K32" s="18" t="str">
        <f>IF(ISBLANK(Input!K37)=TRUE," ",Input!K37)</f>
        <v>G</v>
      </c>
      <c r="L32" s="18" t="str">
        <f>IF(ISBLANK(Input!L37)=TRUE," ",Input!L37)</f>
        <v xml:space="preserve"> </v>
      </c>
      <c r="M32" s="18" t="str">
        <f>IF(ISBLANK(Input!M37)=TRUE," ",Input!M37)</f>
        <v xml:space="preserve"> </v>
      </c>
      <c r="N32" s="19" t="str">
        <f>IF(ISBLANK(Input!N37)=TRUE," ",Input!N37)</f>
        <v xml:space="preserve"> </v>
      </c>
      <c r="O32" s="18" t="str">
        <f>IF(ISBLANK(Input!O37)=TRUE," ",Input!O37)</f>
        <v xml:space="preserve"> </v>
      </c>
      <c r="P32" s="17">
        <v>20</v>
      </c>
      <c r="S32" s="1">
        <f>Input!T37</f>
        <v>1</v>
      </c>
    </row>
    <row r="33" spans="1:19" ht="12" customHeight="1">
      <c r="B33" s="17">
        <v>21</v>
      </c>
      <c r="C33" s="18" t="str">
        <f>IF(ISBLANK(Input!C38)=TRUE," ",Input!C38)</f>
        <v xml:space="preserve"> </v>
      </c>
      <c r="D33" s="19" t="str">
        <f>IF(ISBLANK(Input!D38)=TRUE," ",Input!D38)</f>
        <v xml:space="preserve"> </v>
      </c>
      <c r="E33" s="18" t="str">
        <f>IF(ISBLANK(Input!E38)=TRUE," ",Input!E38)</f>
        <v xml:space="preserve"> </v>
      </c>
      <c r="F33" s="18" t="str">
        <f>IF(ISBLANK(Input!F38)=TRUE," ",Input!F38)</f>
        <v xml:space="preserve"> </v>
      </c>
      <c r="G33" s="18" t="str">
        <f>IF(ISBLANK(Input!G38)=TRUE," ",Input!G38)</f>
        <v>G</v>
      </c>
      <c r="H33" s="20" t="str">
        <f>IF(ISBLANK(Input!H38)=TRUE," ",Input!H38)</f>
        <v xml:space="preserve"> </v>
      </c>
      <c r="I33" s="21" t="str">
        <f>Input!I38</f>
        <v>L2</v>
      </c>
      <c r="J33" s="20" t="str">
        <f>IF(ISBLANK(Input!J38)=TRUE," ",Input!J38)</f>
        <v xml:space="preserve"> </v>
      </c>
      <c r="K33" s="18" t="str">
        <f>IF(ISBLANK(Input!K38)=TRUE," ",Input!K38)</f>
        <v>G</v>
      </c>
      <c r="L33" s="18" t="str">
        <f>IF(ISBLANK(Input!L38)=TRUE," ",Input!L38)</f>
        <v xml:space="preserve"> </v>
      </c>
      <c r="M33" s="18" t="str">
        <f>IF(ISBLANK(Input!M38)=TRUE," ",Input!M38)</f>
        <v xml:space="preserve"> </v>
      </c>
      <c r="N33" s="19" t="str">
        <f>IF(ISBLANK(Input!N38)=TRUE," ",Input!N38)</f>
        <v xml:space="preserve"> </v>
      </c>
      <c r="O33" s="18" t="str">
        <f>IF(ISBLANK(Input!O38)=TRUE," ",Input!O38)</f>
        <v xml:space="preserve"> </v>
      </c>
      <c r="P33" s="17">
        <v>22</v>
      </c>
      <c r="S33" s="1">
        <f>Input!T38</f>
        <v>1</v>
      </c>
    </row>
    <row r="34" spans="1:19" ht="12" customHeight="1">
      <c r="B34" s="17">
        <v>23</v>
      </c>
      <c r="C34" s="18" t="str">
        <f>IF(ISBLANK(Input!C39)=TRUE," ",Input!C39)</f>
        <v xml:space="preserve"> </v>
      </c>
      <c r="D34" s="19" t="str">
        <f>IF(ISBLANK(Input!D39)=TRUE," ",Input!D39)</f>
        <v xml:space="preserve"> </v>
      </c>
      <c r="E34" s="18" t="str">
        <f>IF(ISBLANK(Input!E39)=TRUE," ",Input!E39)</f>
        <v xml:space="preserve"> </v>
      </c>
      <c r="F34" s="18" t="str">
        <f>IF(ISBLANK(Input!F39)=TRUE," ",Input!F39)</f>
        <v xml:space="preserve"> </v>
      </c>
      <c r="G34" s="18" t="str">
        <f>IF(ISBLANK(Input!G39)=TRUE," ",Input!G39)</f>
        <v>G</v>
      </c>
      <c r="H34" s="20" t="str">
        <f>IF(ISBLANK(Input!H39)=TRUE," ",Input!H39)</f>
        <v xml:space="preserve"> </v>
      </c>
      <c r="I34" s="21" t="str">
        <f>Input!I39</f>
        <v>L3</v>
      </c>
      <c r="J34" s="20" t="str">
        <f>IF(ISBLANK(Input!J39)=TRUE," ",Input!J39)</f>
        <v xml:space="preserve"> </v>
      </c>
      <c r="K34" s="18" t="str">
        <f>IF(ISBLANK(Input!K39)=TRUE," ",Input!K39)</f>
        <v>G</v>
      </c>
      <c r="L34" s="18" t="str">
        <f>IF(ISBLANK(Input!L39)=TRUE," ",Input!L39)</f>
        <v xml:space="preserve"> </v>
      </c>
      <c r="M34" s="18" t="str">
        <f>IF(ISBLANK(Input!M39)=TRUE," ",Input!M39)</f>
        <v xml:space="preserve"> </v>
      </c>
      <c r="N34" s="19" t="str">
        <f>IF(ISBLANK(Input!N39)=TRUE," ",Input!N39)</f>
        <v xml:space="preserve"> </v>
      </c>
      <c r="O34" s="18" t="str">
        <f>IF(ISBLANK(Input!O39)=TRUE," ",Input!O39)</f>
        <v xml:space="preserve"> </v>
      </c>
      <c r="P34" s="17">
        <v>24</v>
      </c>
      <c r="S34" s="1">
        <f>Input!T39</f>
        <v>1</v>
      </c>
    </row>
    <row r="35" spans="1:19" ht="12" customHeight="1">
      <c r="B35" s="17">
        <v>25</v>
      </c>
      <c r="C35" s="18" t="str">
        <f>IF(ISBLANK(Input!C40)=TRUE," ",Input!C40)</f>
        <v xml:space="preserve"> </v>
      </c>
      <c r="D35" s="19" t="str">
        <f>IF(ISBLANK(Input!D40)=TRUE," ",Input!D40)</f>
        <v xml:space="preserve"> </v>
      </c>
      <c r="E35" s="18" t="str">
        <f>IF(ISBLANK(Input!E40)=TRUE," ",Input!E40)</f>
        <v xml:space="preserve"> </v>
      </c>
      <c r="F35" s="18" t="str">
        <f>IF(ISBLANK(Input!F40)=TRUE," ",Input!F40)</f>
        <v xml:space="preserve"> </v>
      </c>
      <c r="G35" s="18" t="str">
        <f>IF(ISBLANK(Input!G40)=TRUE," ",Input!G40)</f>
        <v>G</v>
      </c>
      <c r="H35" s="20" t="str">
        <f>IF(ISBLANK(Input!H40)=TRUE," ",Input!H40)</f>
        <v xml:space="preserve"> </v>
      </c>
      <c r="I35" s="21" t="str">
        <f>Input!I40</f>
        <v>L1</v>
      </c>
      <c r="J35" s="20" t="str">
        <f>IF(ISBLANK(Input!J40)=TRUE," ",Input!J40)</f>
        <v xml:space="preserve"> </v>
      </c>
      <c r="K35" s="18" t="str">
        <f>IF(ISBLANK(Input!K40)=TRUE," ",Input!K40)</f>
        <v>G</v>
      </c>
      <c r="L35" s="18" t="str">
        <f>IF(ISBLANK(Input!L40)=TRUE," ",Input!L40)</f>
        <v xml:space="preserve"> </v>
      </c>
      <c r="M35" s="18" t="str">
        <f>IF(ISBLANK(Input!M40)=TRUE," ",Input!M40)</f>
        <v xml:space="preserve"> </v>
      </c>
      <c r="N35" s="19" t="str">
        <f>IF(ISBLANK(Input!N40)=TRUE," ",Input!N40)</f>
        <v xml:space="preserve"> </v>
      </c>
      <c r="O35" s="18" t="str">
        <f>IF(ISBLANK(Input!O40)=TRUE," ",Input!O40)</f>
        <v xml:space="preserve"> </v>
      </c>
      <c r="P35" s="17">
        <v>26</v>
      </c>
      <c r="S35" s="1">
        <f>Input!T40</f>
        <v>1</v>
      </c>
    </row>
    <row r="36" spans="1:19" ht="12" customHeight="1">
      <c r="B36" s="17">
        <v>27</v>
      </c>
      <c r="C36" s="18" t="str">
        <f>IF(ISBLANK(Input!C41)=TRUE," ",Input!C41)</f>
        <v xml:space="preserve"> </v>
      </c>
      <c r="D36" s="19" t="str">
        <f>IF(ISBLANK(Input!D41)=TRUE," ",Input!D41)</f>
        <v xml:space="preserve"> </v>
      </c>
      <c r="E36" s="18" t="str">
        <f>IF(ISBLANK(Input!E41)=TRUE," ",Input!E41)</f>
        <v xml:space="preserve"> </v>
      </c>
      <c r="F36" s="18" t="str">
        <f>IF(ISBLANK(Input!F41)=TRUE," ",Input!F41)</f>
        <v xml:space="preserve"> </v>
      </c>
      <c r="G36" s="18" t="str">
        <f>IF(ISBLANK(Input!G41)=TRUE," ",Input!G41)</f>
        <v>G</v>
      </c>
      <c r="H36" s="20" t="str">
        <f>IF(ISBLANK(Input!H41)=TRUE," ",Input!H41)</f>
        <v xml:space="preserve"> </v>
      </c>
      <c r="I36" s="21" t="str">
        <f>Input!I41</f>
        <v>L2</v>
      </c>
      <c r="J36" s="20" t="str">
        <f>IF(ISBLANK(Input!J41)=TRUE," ",Input!J41)</f>
        <v xml:space="preserve"> </v>
      </c>
      <c r="K36" s="18" t="str">
        <f>IF(ISBLANK(Input!K41)=TRUE," ",Input!K41)</f>
        <v>G</v>
      </c>
      <c r="L36" s="18" t="str">
        <f>IF(ISBLANK(Input!L41)=TRUE," ",Input!L41)</f>
        <v xml:space="preserve"> </v>
      </c>
      <c r="M36" s="18" t="str">
        <f>IF(ISBLANK(Input!M41)=TRUE," ",Input!M41)</f>
        <v xml:space="preserve"> </v>
      </c>
      <c r="N36" s="19" t="str">
        <f>IF(ISBLANK(Input!N41)=TRUE," ",Input!N41)</f>
        <v xml:space="preserve"> </v>
      </c>
      <c r="O36" s="18" t="str">
        <f>IF(ISBLANK(Input!O41)=TRUE," ",Input!O41)</f>
        <v xml:space="preserve"> </v>
      </c>
      <c r="P36" s="17">
        <v>28</v>
      </c>
      <c r="S36" s="1">
        <f>Input!T41</f>
        <v>1</v>
      </c>
    </row>
    <row r="37" spans="1:19" ht="12" customHeight="1">
      <c r="B37" s="17">
        <v>29</v>
      </c>
      <c r="C37" s="18" t="str">
        <f>IF(ISBLANK(Input!C42)=TRUE," ",Input!C42)</f>
        <v xml:space="preserve"> </v>
      </c>
      <c r="D37" s="19" t="str">
        <f>IF(ISBLANK(Input!D42)=TRUE," ",Input!D42)</f>
        <v xml:space="preserve"> </v>
      </c>
      <c r="E37" s="18" t="str">
        <f>IF(ISBLANK(Input!E42)=TRUE," ",Input!E42)</f>
        <v xml:space="preserve"> </v>
      </c>
      <c r="F37" s="18" t="str">
        <f>IF(ISBLANK(Input!F42)=TRUE," ",Input!F42)</f>
        <v xml:space="preserve"> </v>
      </c>
      <c r="G37" s="18" t="str">
        <f>IF(ISBLANK(Input!G42)=TRUE," ",Input!G42)</f>
        <v>G</v>
      </c>
      <c r="H37" s="20" t="str">
        <f>IF(ISBLANK(Input!H42)=TRUE," ",Input!H42)</f>
        <v xml:space="preserve"> </v>
      </c>
      <c r="I37" s="21" t="str">
        <f>Input!I42</f>
        <v>L3</v>
      </c>
      <c r="J37" s="20" t="str">
        <f>IF(ISBLANK(Input!J42)=TRUE," ",Input!J42)</f>
        <v xml:space="preserve"> </v>
      </c>
      <c r="K37" s="18" t="str">
        <f>IF(ISBLANK(Input!K42)=TRUE," ",Input!K42)</f>
        <v>G</v>
      </c>
      <c r="L37" s="18" t="str">
        <f>IF(ISBLANK(Input!L42)=TRUE," ",Input!L42)</f>
        <v xml:space="preserve"> </v>
      </c>
      <c r="M37" s="18" t="str">
        <f>IF(ISBLANK(Input!M42)=TRUE," ",Input!M42)</f>
        <v xml:space="preserve"> </v>
      </c>
      <c r="N37" s="19" t="str">
        <f>IF(ISBLANK(Input!N42)=TRUE," ",Input!N42)</f>
        <v xml:space="preserve"> </v>
      </c>
      <c r="O37" s="18" t="str">
        <f>IF(ISBLANK(Input!O42)=TRUE," ",Input!O42)</f>
        <v xml:space="preserve"> </v>
      </c>
      <c r="P37" s="17">
        <v>30</v>
      </c>
      <c r="S37" s="1">
        <f>Input!T42</f>
        <v>1</v>
      </c>
    </row>
    <row r="38" spans="1:19" ht="12" customHeight="1">
      <c r="B38" s="17">
        <v>31</v>
      </c>
      <c r="C38" s="18" t="str">
        <f>IF(ISBLANK(Input!C43)=TRUE," ",Input!C43)</f>
        <v xml:space="preserve"> </v>
      </c>
      <c r="D38" s="19" t="str">
        <f>IF(ISBLANK(Input!D43)=TRUE," ",Input!D43)</f>
        <v xml:space="preserve"> </v>
      </c>
      <c r="E38" s="18" t="str">
        <f>IF(ISBLANK(Input!E43)=TRUE," ",Input!E43)</f>
        <v xml:space="preserve"> </v>
      </c>
      <c r="F38" s="18" t="str">
        <f>IF(ISBLANK(Input!F43)=TRUE," ",Input!F43)</f>
        <v xml:space="preserve"> </v>
      </c>
      <c r="G38" s="18" t="str">
        <f>IF(ISBLANK(Input!G43)=TRUE," ",Input!G43)</f>
        <v>G</v>
      </c>
      <c r="H38" s="20" t="str">
        <f>IF(ISBLANK(Input!H43)=TRUE," ",Input!H43)</f>
        <v xml:space="preserve"> </v>
      </c>
      <c r="I38" s="21" t="str">
        <f>Input!I43</f>
        <v>L1</v>
      </c>
      <c r="J38" s="20" t="str">
        <f>IF(ISBLANK(Input!J43)=TRUE," ",Input!J43)</f>
        <v xml:space="preserve"> </v>
      </c>
      <c r="K38" s="18" t="str">
        <f>IF(ISBLANK(Input!K43)=TRUE," ",Input!K43)</f>
        <v>G</v>
      </c>
      <c r="L38" s="18" t="str">
        <f>IF(ISBLANK(Input!L43)=TRUE," ",Input!L43)</f>
        <v xml:space="preserve"> </v>
      </c>
      <c r="M38" s="18" t="str">
        <f>IF(ISBLANK(Input!M43)=TRUE," ",Input!M43)</f>
        <v xml:space="preserve"> </v>
      </c>
      <c r="N38" s="19" t="str">
        <f>IF(ISBLANK(Input!N43)=TRUE," ",Input!N43)</f>
        <v xml:space="preserve"> </v>
      </c>
      <c r="O38" s="18" t="str">
        <f>IF(ISBLANK(Input!O43)=TRUE," ",Input!O43)</f>
        <v xml:space="preserve"> </v>
      </c>
      <c r="P38" s="17">
        <v>32</v>
      </c>
      <c r="S38" s="1">
        <f>Input!T43</f>
        <v>1</v>
      </c>
    </row>
    <row r="39" spans="1:19" ht="12" customHeight="1">
      <c r="B39" s="17">
        <v>33</v>
      </c>
      <c r="C39" s="18" t="str">
        <f>IF(ISBLANK(Input!C44)=TRUE," ",Input!C44)</f>
        <v xml:space="preserve"> </v>
      </c>
      <c r="D39" s="19" t="str">
        <f>IF(ISBLANK(Input!D44)=TRUE," ",Input!D44)</f>
        <v xml:space="preserve"> </v>
      </c>
      <c r="E39" s="18" t="str">
        <f>IF(ISBLANK(Input!E44)=TRUE," ",Input!E44)</f>
        <v xml:space="preserve"> </v>
      </c>
      <c r="F39" s="18" t="str">
        <f>IF(ISBLANK(Input!F44)=TRUE," ",Input!F44)</f>
        <v xml:space="preserve"> </v>
      </c>
      <c r="G39" s="18" t="str">
        <f>IF(ISBLANK(Input!G44)=TRUE," ",Input!G44)</f>
        <v>G</v>
      </c>
      <c r="H39" s="20" t="str">
        <f>IF(ISBLANK(Input!H44)=TRUE," ",Input!H44)</f>
        <v xml:space="preserve"> </v>
      </c>
      <c r="I39" s="21" t="str">
        <f>Input!I44</f>
        <v>L2</v>
      </c>
      <c r="J39" s="20" t="str">
        <f>IF(ISBLANK(Input!J44)=TRUE," ",Input!J44)</f>
        <v xml:space="preserve"> </v>
      </c>
      <c r="K39" s="18" t="str">
        <f>IF(ISBLANK(Input!K44)=TRUE," ",Input!K44)</f>
        <v>G</v>
      </c>
      <c r="L39" s="18" t="str">
        <f>IF(ISBLANK(Input!L44)=TRUE," ",Input!L44)</f>
        <v xml:space="preserve"> </v>
      </c>
      <c r="M39" s="18" t="str">
        <f>IF(ISBLANK(Input!M44)=TRUE," ",Input!M44)</f>
        <v xml:space="preserve"> </v>
      </c>
      <c r="N39" s="19" t="str">
        <f>IF(ISBLANK(Input!N44)=TRUE," ",Input!N44)</f>
        <v xml:space="preserve"> </v>
      </c>
      <c r="O39" s="18" t="str">
        <f>IF(ISBLANK(Input!O44)=TRUE," ",Input!O44)</f>
        <v xml:space="preserve"> </v>
      </c>
      <c r="P39" s="17">
        <v>34</v>
      </c>
      <c r="S39" s="1">
        <f>Input!T44</f>
        <v>1</v>
      </c>
    </row>
    <row r="40" spans="1:19" ht="12" customHeight="1">
      <c r="A40" s="22"/>
      <c r="B40" s="17">
        <v>35</v>
      </c>
      <c r="C40" s="18" t="str">
        <f>IF(ISBLANK(Input!C45)=TRUE," ",Input!C45)</f>
        <v xml:space="preserve"> </v>
      </c>
      <c r="D40" s="19" t="str">
        <f>IF(ISBLANK(Input!D45)=TRUE," ",Input!D45)</f>
        <v xml:space="preserve"> </v>
      </c>
      <c r="E40" s="18" t="str">
        <f>IF(ISBLANK(Input!E45)=TRUE," ",Input!E45)</f>
        <v xml:space="preserve"> </v>
      </c>
      <c r="F40" s="18" t="str">
        <f>IF(ISBLANK(Input!F45)=TRUE," ",Input!F45)</f>
        <v xml:space="preserve"> </v>
      </c>
      <c r="G40" s="18" t="str">
        <f>IF(ISBLANK(Input!G45)=TRUE," ",Input!G45)</f>
        <v>G</v>
      </c>
      <c r="H40" s="20" t="str">
        <f>IF(ISBLANK(Input!H45)=TRUE," ",Input!H45)</f>
        <v xml:space="preserve"> </v>
      </c>
      <c r="I40" s="21" t="str">
        <f>Input!I45</f>
        <v>L3</v>
      </c>
      <c r="J40" s="20" t="str">
        <f>IF(ISBLANK(Input!J45)=TRUE," ",Input!J45)</f>
        <v xml:space="preserve"> </v>
      </c>
      <c r="K40" s="18" t="str">
        <f>IF(ISBLANK(Input!K45)=TRUE," ",Input!K45)</f>
        <v>G</v>
      </c>
      <c r="L40" s="18" t="str">
        <f>IF(ISBLANK(Input!L45)=TRUE," ",Input!L45)</f>
        <v xml:space="preserve"> </v>
      </c>
      <c r="M40" s="18" t="str">
        <f>IF(ISBLANK(Input!M45)=TRUE," ",Input!M45)</f>
        <v xml:space="preserve"> </v>
      </c>
      <c r="N40" s="19" t="str">
        <f>IF(ISBLANK(Input!N45)=TRUE," ",Input!N45)</f>
        <v xml:space="preserve"> </v>
      </c>
      <c r="O40" s="18" t="str">
        <f>IF(ISBLANK(Input!O45)=TRUE," ",Input!O45)</f>
        <v xml:space="preserve"> </v>
      </c>
      <c r="P40" s="17">
        <v>36</v>
      </c>
      <c r="Q40" s="22"/>
      <c r="S40" s="1">
        <f>Input!T45</f>
        <v>1</v>
      </c>
    </row>
    <row r="41" spans="1:19" s="22" customFormat="1" ht="12" customHeight="1">
      <c r="B41" s="17">
        <v>37</v>
      </c>
      <c r="C41" s="18" t="str">
        <f>IF(ISBLANK(Input!C46)=TRUE," ",Input!C46)</f>
        <v xml:space="preserve"> </v>
      </c>
      <c r="D41" s="19" t="str">
        <f>IF(ISBLANK(Input!D46)=TRUE," ",Input!D46)</f>
        <v xml:space="preserve"> </v>
      </c>
      <c r="E41" s="18" t="str">
        <f>IF(ISBLANK(Input!E46)=TRUE," ",Input!E46)</f>
        <v xml:space="preserve"> </v>
      </c>
      <c r="F41" s="18" t="str">
        <f>IF(ISBLANK(Input!F46)=TRUE," ",Input!F46)</f>
        <v xml:space="preserve"> </v>
      </c>
      <c r="G41" s="18" t="str">
        <f>IF(ISBLANK(Input!G46)=TRUE," ",Input!G46)</f>
        <v>G</v>
      </c>
      <c r="H41" s="20" t="str">
        <f>IF(ISBLANK(Input!H46)=TRUE," ",Input!H46)</f>
        <v xml:space="preserve"> </v>
      </c>
      <c r="I41" s="21" t="str">
        <f>Input!I46</f>
        <v>L1</v>
      </c>
      <c r="J41" s="20" t="str">
        <f>IF(ISBLANK(Input!J46)=TRUE," ",Input!J46)</f>
        <v xml:space="preserve"> </v>
      </c>
      <c r="K41" s="18" t="str">
        <f>IF(ISBLANK(Input!K46)=TRUE," ",Input!K46)</f>
        <v>G</v>
      </c>
      <c r="L41" s="18" t="str">
        <f>IF(ISBLANK(Input!L46)=TRUE," ",Input!L46)</f>
        <v xml:space="preserve"> </v>
      </c>
      <c r="M41" s="18" t="str">
        <f>IF(ISBLANK(Input!M46)=TRUE," ",Input!M46)</f>
        <v xml:space="preserve"> </v>
      </c>
      <c r="N41" s="19" t="str">
        <f>IF(ISBLANK(Input!N46)=TRUE," ",Input!N46)</f>
        <v xml:space="preserve"> </v>
      </c>
      <c r="O41" s="18" t="str">
        <f>IF(ISBLANK(Input!O46)=TRUE," ",Input!O46)</f>
        <v xml:space="preserve"> </v>
      </c>
      <c r="P41" s="17">
        <v>38</v>
      </c>
      <c r="S41" s="1">
        <f>Input!T46</f>
        <v>1</v>
      </c>
    </row>
    <row r="42" spans="1:19" s="22" customFormat="1" ht="12" customHeight="1">
      <c r="A42" s="1"/>
      <c r="B42" s="17">
        <v>39</v>
      </c>
      <c r="C42" s="18" t="str">
        <f>IF(ISBLANK(Input!C47)=TRUE," ",Input!C47)</f>
        <v xml:space="preserve"> </v>
      </c>
      <c r="D42" s="19" t="str">
        <f>IF(ISBLANK(Input!D47)=TRUE," ",Input!D47)</f>
        <v xml:space="preserve"> </v>
      </c>
      <c r="E42" s="18" t="str">
        <f>IF(ISBLANK(Input!E47)=TRUE," ",Input!E47)</f>
        <v xml:space="preserve"> </v>
      </c>
      <c r="F42" s="18" t="str">
        <f>IF(ISBLANK(Input!F47)=TRUE," ",Input!F47)</f>
        <v xml:space="preserve"> </v>
      </c>
      <c r="G42" s="18" t="str">
        <f>IF(ISBLANK(Input!G47)=TRUE," ",Input!G47)</f>
        <v>G</v>
      </c>
      <c r="H42" s="20" t="str">
        <f>IF(ISBLANK(Input!H47)=TRUE," ",Input!H47)</f>
        <v xml:space="preserve"> </v>
      </c>
      <c r="I42" s="21" t="str">
        <f>Input!I47</f>
        <v>L2</v>
      </c>
      <c r="J42" s="20" t="str">
        <f>IF(ISBLANK(Input!J47)=TRUE," ",Input!J47)</f>
        <v xml:space="preserve"> </v>
      </c>
      <c r="K42" s="18" t="str">
        <f>IF(ISBLANK(Input!K47)=TRUE," ",Input!K47)</f>
        <v>G</v>
      </c>
      <c r="L42" s="18" t="str">
        <f>IF(ISBLANK(Input!L47)=TRUE," ",Input!L47)</f>
        <v xml:space="preserve"> </v>
      </c>
      <c r="M42" s="18" t="str">
        <f>IF(ISBLANK(Input!M47)=TRUE," ",Input!M47)</f>
        <v xml:space="preserve"> </v>
      </c>
      <c r="N42" s="19" t="str">
        <f>IF(ISBLANK(Input!N47)=TRUE," ",Input!N47)</f>
        <v xml:space="preserve"> </v>
      </c>
      <c r="O42" s="18" t="str">
        <f>IF(ISBLANK(Input!O47)=TRUE," ",Input!O47)</f>
        <v xml:space="preserve"> </v>
      </c>
      <c r="P42" s="17">
        <v>40</v>
      </c>
      <c r="Q42" s="1"/>
      <c r="S42" s="1">
        <f>Input!T47</f>
        <v>1</v>
      </c>
    </row>
    <row r="43" spans="1:19" ht="12" customHeight="1">
      <c r="B43" s="17">
        <v>41</v>
      </c>
      <c r="C43" s="18" t="str">
        <f>IF(ISBLANK(Input!C48)=TRUE," ",Input!C48)</f>
        <v xml:space="preserve"> </v>
      </c>
      <c r="D43" s="19" t="str">
        <f>IF(ISBLANK(Input!D48)=TRUE," ",Input!D48)</f>
        <v xml:space="preserve"> </v>
      </c>
      <c r="E43" s="18" t="str">
        <f>IF(ISBLANK(Input!E48)=TRUE," ",Input!E48)</f>
        <v xml:space="preserve"> </v>
      </c>
      <c r="F43" s="18" t="str">
        <f>IF(ISBLANK(Input!F48)=TRUE," ",Input!F48)</f>
        <v xml:space="preserve"> </v>
      </c>
      <c r="G43" s="18" t="str">
        <f>IF(ISBLANK(Input!G48)=TRUE," ",Input!G48)</f>
        <v>G</v>
      </c>
      <c r="H43" s="20" t="str">
        <f>IF(ISBLANK(Input!H48)=TRUE," ",Input!H48)</f>
        <v xml:space="preserve"> </v>
      </c>
      <c r="I43" s="21" t="str">
        <f>Input!I48</f>
        <v>L3</v>
      </c>
      <c r="J43" s="20" t="str">
        <f>IF(ISBLANK(Input!J48)=TRUE," ",Input!J48)</f>
        <v xml:space="preserve"> </v>
      </c>
      <c r="K43" s="18" t="str">
        <f>IF(ISBLANK(Input!K48)=TRUE," ",Input!K48)</f>
        <v>G</v>
      </c>
      <c r="L43" s="18" t="str">
        <f>IF(ISBLANK(Input!L48)=TRUE," ",Input!L48)</f>
        <v xml:space="preserve"> </v>
      </c>
      <c r="M43" s="18" t="str">
        <f>IF(ISBLANK(Input!M48)=TRUE," ",Input!M48)</f>
        <v xml:space="preserve"> </v>
      </c>
      <c r="N43" s="19" t="str">
        <f>IF(ISBLANK(Input!N48)=TRUE," ",Input!N48)</f>
        <v xml:space="preserve"> </v>
      </c>
      <c r="O43" s="18" t="str">
        <f>IF(ISBLANK(Input!O48)=TRUE," ",Input!O48)</f>
        <v xml:space="preserve"> </v>
      </c>
      <c r="P43" s="17">
        <v>42</v>
      </c>
      <c r="S43" s="1">
        <f>Input!T48</f>
        <v>1</v>
      </c>
    </row>
    <row r="44" spans="1:19" ht="12" customHeight="1">
      <c r="B44" s="17">
        <v>43</v>
      </c>
      <c r="C44" s="18" t="str">
        <f>IF(ISBLANK(Input!C49)=TRUE," ",Input!C49)</f>
        <v xml:space="preserve"> </v>
      </c>
      <c r="D44" s="19" t="str">
        <f>IF(ISBLANK(Input!D49)=TRUE," ",Input!D49)</f>
        <v xml:space="preserve"> </v>
      </c>
      <c r="E44" s="18" t="str">
        <f>IF(ISBLANK(Input!E49)=TRUE," ",Input!E49)</f>
        <v xml:space="preserve"> </v>
      </c>
      <c r="F44" s="18" t="str">
        <f>IF(ISBLANK(Input!F49)=TRUE," ",Input!F49)</f>
        <v xml:space="preserve"> </v>
      </c>
      <c r="G44" s="18" t="str">
        <f>IF(ISBLANK(Input!G49)=TRUE," ",Input!G49)</f>
        <v>G</v>
      </c>
      <c r="H44" s="20" t="str">
        <f>IF(ISBLANK(Input!H49)=TRUE," ",Input!H49)</f>
        <v xml:space="preserve"> </v>
      </c>
      <c r="I44" s="21" t="str">
        <f>Input!I49</f>
        <v>L1</v>
      </c>
      <c r="J44" s="20" t="str">
        <f>IF(ISBLANK(Input!J49)=TRUE," ",Input!J49)</f>
        <v xml:space="preserve"> </v>
      </c>
      <c r="K44" s="18" t="str">
        <f>IF(ISBLANK(Input!K49)=TRUE," ",Input!K49)</f>
        <v>G</v>
      </c>
      <c r="L44" s="18" t="str">
        <f>IF(ISBLANK(Input!L49)=TRUE," ",Input!L49)</f>
        <v xml:space="preserve"> </v>
      </c>
      <c r="M44" s="18" t="str">
        <f>IF(ISBLANK(Input!M49)=TRUE," ",Input!M49)</f>
        <v xml:space="preserve"> </v>
      </c>
      <c r="N44" s="19" t="str">
        <f>IF(ISBLANK(Input!N49)=TRUE," ",Input!N49)</f>
        <v xml:space="preserve"> </v>
      </c>
      <c r="O44" s="18" t="str">
        <f>IF(ISBLANK(Input!O49)=TRUE," ",Input!O49)</f>
        <v xml:space="preserve"> </v>
      </c>
      <c r="P44" s="17">
        <v>44</v>
      </c>
      <c r="S44" s="1">
        <f>Input!T49</f>
        <v>1</v>
      </c>
    </row>
    <row r="45" spans="1:19" ht="12" customHeight="1">
      <c r="B45" s="17">
        <v>45</v>
      </c>
      <c r="C45" s="18" t="str">
        <f>IF(ISBLANK(Input!C50)=TRUE," ",Input!C50)</f>
        <v xml:space="preserve"> </v>
      </c>
      <c r="D45" s="19" t="str">
        <f>IF(ISBLANK(Input!D50)=TRUE," ",Input!D50)</f>
        <v xml:space="preserve"> </v>
      </c>
      <c r="E45" s="18" t="str">
        <f>IF(ISBLANK(Input!E50)=TRUE," ",Input!E50)</f>
        <v xml:space="preserve"> </v>
      </c>
      <c r="F45" s="18" t="str">
        <f>IF(ISBLANK(Input!F50)=TRUE," ",Input!F50)</f>
        <v xml:space="preserve"> </v>
      </c>
      <c r="G45" s="18" t="str">
        <f>IF(ISBLANK(Input!G50)=TRUE," ",Input!G50)</f>
        <v>G</v>
      </c>
      <c r="H45" s="20" t="str">
        <f>IF(ISBLANK(Input!H50)=TRUE," ",Input!H50)</f>
        <v xml:space="preserve"> </v>
      </c>
      <c r="I45" s="21" t="str">
        <f>Input!I50</f>
        <v>L2</v>
      </c>
      <c r="J45" s="20" t="str">
        <f>IF(ISBLANK(Input!J50)=TRUE," ",Input!J50)</f>
        <v xml:space="preserve"> </v>
      </c>
      <c r="K45" s="18" t="str">
        <f>IF(ISBLANK(Input!K50)=TRUE," ",Input!K50)</f>
        <v>G</v>
      </c>
      <c r="L45" s="18" t="str">
        <f>IF(ISBLANK(Input!L50)=TRUE," ",Input!L50)</f>
        <v xml:space="preserve"> </v>
      </c>
      <c r="M45" s="18" t="str">
        <f>IF(ISBLANK(Input!M50)=TRUE," ",Input!M50)</f>
        <v xml:space="preserve"> </v>
      </c>
      <c r="N45" s="19" t="str">
        <f>IF(ISBLANK(Input!N50)=TRUE," ",Input!N50)</f>
        <v xml:space="preserve"> </v>
      </c>
      <c r="O45" s="18" t="str">
        <f>IF(ISBLANK(Input!O50)=TRUE," ",Input!O50)</f>
        <v xml:space="preserve"> </v>
      </c>
      <c r="P45" s="17">
        <v>46</v>
      </c>
      <c r="S45" s="1">
        <f>Input!T50</f>
        <v>1</v>
      </c>
    </row>
    <row r="46" spans="1:19" ht="12" customHeight="1">
      <c r="B46" s="17">
        <v>47</v>
      </c>
      <c r="C46" s="18" t="str">
        <f>IF(ISBLANK(Input!C51)=TRUE," ",Input!C51)</f>
        <v xml:space="preserve"> </v>
      </c>
      <c r="D46" s="19" t="str">
        <f>IF(ISBLANK(Input!D51)=TRUE," ",Input!D51)</f>
        <v xml:space="preserve"> </v>
      </c>
      <c r="E46" s="18" t="str">
        <f>IF(ISBLANK(Input!E51)=TRUE," ",Input!E51)</f>
        <v xml:space="preserve"> </v>
      </c>
      <c r="F46" s="18" t="str">
        <f>IF(ISBLANK(Input!F51)=TRUE," ",Input!F51)</f>
        <v xml:space="preserve"> </v>
      </c>
      <c r="G46" s="18" t="str">
        <f>IF(ISBLANK(Input!G51)=TRUE," ",Input!G51)</f>
        <v>G</v>
      </c>
      <c r="H46" s="20" t="str">
        <f>IF(ISBLANK(Input!H51)=TRUE," ",Input!H51)</f>
        <v xml:space="preserve"> </v>
      </c>
      <c r="I46" s="21" t="str">
        <f>Input!I51</f>
        <v>L3</v>
      </c>
      <c r="J46" s="20" t="str">
        <f>IF(ISBLANK(Input!J51)=TRUE," ",Input!J51)</f>
        <v xml:space="preserve"> </v>
      </c>
      <c r="K46" s="18" t="str">
        <f>IF(ISBLANK(Input!K51)=TRUE," ",Input!K51)</f>
        <v>G</v>
      </c>
      <c r="L46" s="18" t="str">
        <f>IF(ISBLANK(Input!L51)=TRUE," ",Input!L51)</f>
        <v xml:space="preserve"> </v>
      </c>
      <c r="M46" s="18" t="str">
        <f>IF(ISBLANK(Input!M51)=TRUE," ",Input!M51)</f>
        <v xml:space="preserve"> </v>
      </c>
      <c r="N46" s="19" t="str">
        <f>IF(ISBLANK(Input!N51)=TRUE," ",Input!N51)</f>
        <v xml:space="preserve"> </v>
      </c>
      <c r="O46" s="18" t="str">
        <f>IF(ISBLANK(Input!O51)=TRUE," ",Input!O51)</f>
        <v xml:space="preserve"> </v>
      </c>
      <c r="P46" s="17">
        <v>48</v>
      </c>
      <c r="S46" s="1">
        <f>Input!T51</f>
        <v>1</v>
      </c>
    </row>
    <row r="47" spans="1:19" ht="12" customHeight="1">
      <c r="B47" s="17">
        <v>49</v>
      </c>
      <c r="C47" s="18" t="str">
        <f>IF(ISBLANK(Input!C52)=TRUE," ",Input!C52)</f>
        <v xml:space="preserve"> </v>
      </c>
      <c r="D47" s="19" t="str">
        <f>IF(ISBLANK(Input!D52)=TRUE," ",Input!D52)</f>
        <v xml:space="preserve"> </v>
      </c>
      <c r="E47" s="18" t="str">
        <f>IF(ISBLANK(Input!E52)=TRUE," ",Input!E52)</f>
        <v xml:space="preserve"> </v>
      </c>
      <c r="F47" s="18" t="str">
        <f>IF(ISBLANK(Input!F52)=TRUE," ",Input!F52)</f>
        <v xml:space="preserve"> </v>
      </c>
      <c r="G47" s="18" t="str">
        <f>IF(ISBLANK(Input!G52)=TRUE," ",Input!G52)</f>
        <v>G</v>
      </c>
      <c r="H47" s="20" t="str">
        <f>IF(ISBLANK(Input!H52)=TRUE," ",Input!H52)</f>
        <v xml:space="preserve"> </v>
      </c>
      <c r="I47" s="21" t="str">
        <f>Input!I52</f>
        <v>L1</v>
      </c>
      <c r="J47" s="20" t="str">
        <f>IF(ISBLANK(Input!J52)=TRUE," ",Input!J52)</f>
        <v xml:space="preserve"> </v>
      </c>
      <c r="K47" s="18" t="str">
        <f>IF(ISBLANK(Input!K52)=TRUE," ",Input!K52)</f>
        <v>G</v>
      </c>
      <c r="L47" s="18" t="str">
        <f>IF(ISBLANK(Input!L52)=TRUE," ",Input!L52)</f>
        <v xml:space="preserve"> </v>
      </c>
      <c r="M47" s="18" t="str">
        <f>IF(ISBLANK(Input!M52)=TRUE," ",Input!M52)</f>
        <v xml:space="preserve"> </v>
      </c>
      <c r="N47" s="19" t="str">
        <f>IF(ISBLANK(Input!N52)=TRUE," ",Input!N52)</f>
        <v xml:space="preserve"> </v>
      </c>
      <c r="O47" s="18" t="str">
        <f>IF(ISBLANK(Input!O52)=TRUE," ",Input!O52)</f>
        <v xml:space="preserve"> </v>
      </c>
      <c r="P47" s="17">
        <v>50</v>
      </c>
      <c r="S47" s="1">
        <f>Input!T52</f>
        <v>1</v>
      </c>
    </row>
    <row r="48" spans="1:19" ht="12" customHeight="1">
      <c r="B48" s="17">
        <v>51</v>
      </c>
      <c r="C48" s="18" t="str">
        <f>IF(ISBLANK(Input!C53)=TRUE," ",Input!C53)</f>
        <v xml:space="preserve"> </v>
      </c>
      <c r="D48" s="19" t="str">
        <f>IF(ISBLANK(Input!D53)=TRUE," ",Input!D53)</f>
        <v xml:space="preserve"> </v>
      </c>
      <c r="E48" s="18" t="str">
        <f>IF(ISBLANK(Input!E53)=TRUE," ",Input!E53)</f>
        <v xml:space="preserve"> </v>
      </c>
      <c r="F48" s="18" t="str">
        <f>IF(ISBLANK(Input!F53)=TRUE," ",Input!F53)</f>
        <v xml:space="preserve"> </v>
      </c>
      <c r="G48" s="18" t="str">
        <f>IF(ISBLANK(Input!G53)=TRUE," ",Input!G53)</f>
        <v>G</v>
      </c>
      <c r="H48" s="20" t="str">
        <f>IF(ISBLANK(Input!H53)=TRUE," ",Input!H53)</f>
        <v xml:space="preserve"> </v>
      </c>
      <c r="I48" s="21" t="str">
        <f>Input!I53</f>
        <v>L2</v>
      </c>
      <c r="J48" s="20" t="str">
        <f>IF(ISBLANK(Input!J53)=TRUE," ",Input!J53)</f>
        <v xml:space="preserve"> </v>
      </c>
      <c r="K48" s="18" t="str">
        <f>IF(ISBLANK(Input!K53)=TRUE," ",Input!K53)</f>
        <v>G</v>
      </c>
      <c r="L48" s="18" t="str">
        <f>IF(ISBLANK(Input!L53)=TRUE," ",Input!L53)</f>
        <v xml:space="preserve"> </v>
      </c>
      <c r="M48" s="18" t="str">
        <f>IF(ISBLANK(Input!M53)=TRUE," ",Input!M53)</f>
        <v xml:space="preserve"> </v>
      </c>
      <c r="N48" s="19" t="str">
        <f>IF(ISBLANK(Input!N53)=TRUE," ",Input!N53)</f>
        <v xml:space="preserve"> </v>
      </c>
      <c r="O48" s="18" t="str">
        <f>IF(ISBLANK(Input!O53)=TRUE," ",Input!O53)</f>
        <v xml:space="preserve"> </v>
      </c>
      <c r="P48" s="17">
        <v>52</v>
      </c>
      <c r="S48" s="1">
        <f>Input!T53</f>
        <v>1</v>
      </c>
    </row>
    <row r="49" spans="2:19" ht="12" customHeight="1">
      <c r="B49" s="17">
        <v>53</v>
      </c>
      <c r="C49" s="18" t="str">
        <f>IF(ISBLANK(Input!C54)=TRUE," ",Input!C54)</f>
        <v xml:space="preserve"> </v>
      </c>
      <c r="D49" s="19" t="str">
        <f>IF(ISBLANK(Input!D54)=TRUE," ",Input!D54)</f>
        <v xml:space="preserve"> </v>
      </c>
      <c r="E49" s="18" t="str">
        <f>IF(ISBLANK(Input!E54)=TRUE," ",Input!E54)</f>
        <v xml:space="preserve"> </v>
      </c>
      <c r="F49" s="18" t="str">
        <f>IF(ISBLANK(Input!F54)=TRUE," ",Input!F54)</f>
        <v xml:space="preserve"> </v>
      </c>
      <c r="G49" s="18" t="str">
        <f>IF(ISBLANK(Input!G54)=TRUE," ",Input!G54)</f>
        <v>G</v>
      </c>
      <c r="H49" s="20" t="str">
        <f>IF(ISBLANK(Input!H54)=TRUE," ",Input!H54)</f>
        <v xml:space="preserve"> </v>
      </c>
      <c r="I49" s="21" t="str">
        <f>Input!I54</f>
        <v>L3</v>
      </c>
      <c r="J49" s="20" t="str">
        <f>IF(ISBLANK(Input!J54)=TRUE," ",Input!J54)</f>
        <v xml:space="preserve"> </v>
      </c>
      <c r="K49" s="18" t="str">
        <f>IF(ISBLANK(Input!K54)=TRUE," ",Input!K54)</f>
        <v>G</v>
      </c>
      <c r="L49" s="18" t="str">
        <f>IF(ISBLANK(Input!L54)=TRUE," ",Input!L54)</f>
        <v xml:space="preserve"> </v>
      </c>
      <c r="M49" s="18" t="str">
        <f>IF(ISBLANK(Input!M54)=TRUE," ",Input!M54)</f>
        <v xml:space="preserve"> </v>
      </c>
      <c r="N49" s="19" t="str">
        <f>IF(ISBLANK(Input!N54)=TRUE," ",Input!N54)</f>
        <v xml:space="preserve"> </v>
      </c>
      <c r="O49" s="18" t="str">
        <f>IF(ISBLANK(Input!O54)=TRUE," ",Input!O54)</f>
        <v xml:space="preserve"> </v>
      </c>
      <c r="P49" s="17">
        <v>54</v>
      </c>
      <c r="S49" s="1">
        <f>Input!T54</f>
        <v>1</v>
      </c>
    </row>
    <row r="50" spans="2:19" ht="12" customHeight="1">
      <c r="B50" s="17">
        <v>55</v>
      </c>
      <c r="C50" s="18" t="str">
        <f>IF(ISBLANK(Input!C55)=TRUE," ",Input!C55)</f>
        <v xml:space="preserve"> </v>
      </c>
      <c r="D50" s="19" t="str">
        <f>IF(ISBLANK(Input!D55)=TRUE," ",Input!D55)</f>
        <v xml:space="preserve"> </v>
      </c>
      <c r="E50" s="18" t="str">
        <f>IF(ISBLANK(Input!E55)=TRUE," ",Input!E55)</f>
        <v xml:space="preserve"> </v>
      </c>
      <c r="F50" s="18" t="str">
        <f>IF(ISBLANK(Input!F55)=TRUE," ",Input!F55)</f>
        <v xml:space="preserve"> </v>
      </c>
      <c r="G50" s="18" t="str">
        <f>IF(ISBLANK(Input!G55)=TRUE," ",Input!G55)</f>
        <v>G</v>
      </c>
      <c r="H50" s="20" t="str">
        <f>IF(ISBLANK(Input!H55)=TRUE," ",Input!H55)</f>
        <v xml:space="preserve"> </v>
      </c>
      <c r="I50" s="21" t="str">
        <f>Input!I55</f>
        <v>L1</v>
      </c>
      <c r="J50" s="20" t="str">
        <f>IF(ISBLANK(Input!J55)=TRUE," ",Input!J55)</f>
        <v xml:space="preserve"> </v>
      </c>
      <c r="K50" s="18" t="str">
        <f>IF(ISBLANK(Input!K55)=TRUE," ",Input!K55)</f>
        <v>G</v>
      </c>
      <c r="L50" s="18" t="str">
        <f>IF(ISBLANK(Input!L55)=TRUE," ",Input!L55)</f>
        <v xml:space="preserve"> </v>
      </c>
      <c r="M50" s="18" t="str">
        <f>IF(ISBLANK(Input!M55)=TRUE," ",Input!M55)</f>
        <v xml:space="preserve"> </v>
      </c>
      <c r="N50" s="19" t="str">
        <f>IF(ISBLANK(Input!N55)=TRUE," ",Input!N55)</f>
        <v xml:space="preserve"> </v>
      </c>
      <c r="O50" s="18" t="str">
        <f>IF(ISBLANK(Input!O55)=TRUE," ",Input!O55)</f>
        <v xml:space="preserve"> </v>
      </c>
      <c r="P50" s="17">
        <v>56</v>
      </c>
      <c r="S50" s="1">
        <f>Input!T55</f>
        <v>1</v>
      </c>
    </row>
    <row r="51" spans="2:19" ht="12" customHeight="1">
      <c r="B51" s="17">
        <v>57</v>
      </c>
      <c r="C51" s="18" t="str">
        <f>IF(ISBLANK(Input!C56)=TRUE," ",Input!C56)</f>
        <v xml:space="preserve"> </v>
      </c>
      <c r="D51" s="19" t="str">
        <f>IF(ISBLANK(Input!D56)=TRUE," ",Input!D56)</f>
        <v xml:space="preserve"> </v>
      </c>
      <c r="E51" s="18" t="str">
        <f>IF(ISBLANK(Input!E56)=TRUE," ",Input!E56)</f>
        <v xml:space="preserve"> </v>
      </c>
      <c r="F51" s="18" t="str">
        <f>IF(ISBLANK(Input!F56)=TRUE," ",Input!F56)</f>
        <v xml:space="preserve"> </v>
      </c>
      <c r="G51" s="18" t="str">
        <f>IF(ISBLANK(Input!G56)=TRUE," ",Input!G56)</f>
        <v>G</v>
      </c>
      <c r="H51" s="20" t="str">
        <f>IF(ISBLANK(Input!H56)=TRUE," ",Input!H56)</f>
        <v xml:space="preserve"> </v>
      </c>
      <c r="I51" s="21" t="str">
        <f>Input!I56</f>
        <v>L2</v>
      </c>
      <c r="J51" s="20" t="str">
        <f>IF(ISBLANK(Input!J56)=TRUE," ",Input!J56)</f>
        <v xml:space="preserve"> </v>
      </c>
      <c r="K51" s="18" t="str">
        <f>IF(ISBLANK(Input!K56)=TRUE," ",Input!K56)</f>
        <v>G</v>
      </c>
      <c r="L51" s="18" t="str">
        <f>IF(ISBLANK(Input!L56)=TRUE," ",Input!L56)</f>
        <v xml:space="preserve"> </v>
      </c>
      <c r="M51" s="18" t="str">
        <f>IF(ISBLANK(Input!M56)=TRUE," ",Input!M56)</f>
        <v xml:space="preserve"> </v>
      </c>
      <c r="N51" s="19" t="str">
        <f>IF(ISBLANK(Input!N56)=TRUE," ",Input!N56)</f>
        <v xml:space="preserve"> </v>
      </c>
      <c r="O51" s="18" t="str">
        <f>IF(ISBLANK(Input!O56)=TRUE," ",Input!O56)</f>
        <v xml:space="preserve"> </v>
      </c>
      <c r="P51" s="17">
        <v>58</v>
      </c>
      <c r="S51" s="1">
        <f>Input!T56</f>
        <v>1</v>
      </c>
    </row>
    <row r="52" spans="2:19" ht="12" customHeight="1">
      <c r="B52" s="17">
        <v>59</v>
      </c>
      <c r="C52" s="18" t="str">
        <f>IF(ISBLANK(Input!C57)=TRUE," ",Input!C57)</f>
        <v xml:space="preserve"> </v>
      </c>
      <c r="D52" s="19" t="str">
        <f>IF(ISBLANK(Input!D57)=TRUE," ",Input!D57)</f>
        <v xml:space="preserve"> </v>
      </c>
      <c r="E52" s="18" t="str">
        <f>IF(ISBLANK(Input!E57)=TRUE," ",Input!E57)</f>
        <v xml:space="preserve"> </v>
      </c>
      <c r="F52" s="18" t="str">
        <f>IF(ISBLANK(Input!F57)=TRUE," ",Input!F57)</f>
        <v xml:space="preserve"> </v>
      </c>
      <c r="G52" s="18" t="str">
        <f>IF(ISBLANK(Input!G57)=TRUE," ",Input!G57)</f>
        <v>G</v>
      </c>
      <c r="H52" s="20" t="str">
        <f>IF(ISBLANK(Input!H57)=TRUE," ",Input!H57)</f>
        <v xml:space="preserve"> </v>
      </c>
      <c r="I52" s="21" t="str">
        <f>Input!I57</f>
        <v>L3</v>
      </c>
      <c r="J52" s="20" t="str">
        <f>IF(ISBLANK(Input!J57)=TRUE," ",Input!J57)</f>
        <v xml:space="preserve"> </v>
      </c>
      <c r="K52" s="18" t="str">
        <f>IF(ISBLANK(Input!K57)=TRUE," ",Input!K57)</f>
        <v>G</v>
      </c>
      <c r="L52" s="18" t="str">
        <f>IF(ISBLANK(Input!L57)=TRUE," ",Input!L57)</f>
        <v xml:space="preserve"> </v>
      </c>
      <c r="M52" s="18" t="str">
        <f>IF(ISBLANK(Input!M57)=TRUE," ",Input!M57)</f>
        <v xml:space="preserve"> </v>
      </c>
      <c r="N52" s="19" t="str">
        <f>IF(ISBLANK(Input!N57)=TRUE," ",Input!N57)</f>
        <v xml:space="preserve"> </v>
      </c>
      <c r="O52" s="18" t="str">
        <f>IF(ISBLANK(Input!O57)=TRUE," ",Input!O57)</f>
        <v xml:space="preserve"> </v>
      </c>
      <c r="P52" s="17">
        <v>60</v>
      </c>
      <c r="S52" s="1">
        <f>Input!T57</f>
        <v>1</v>
      </c>
    </row>
    <row r="53" spans="2:19" ht="12" customHeight="1">
      <c r="B53" s="17">
        <v>61</v>
      </c>
      <c r="C53" s="18" t="str">
        <f>IF(ISBLANK(Input!C58)=TRUE," ",Input!C58)</f>
        <v xml:space="preserve"> </v>
      </c>
      <c r="D53" s="19" t="str">
        <f>IF(ISBLANK(Input!D58)=TRUE," ",Input!D58)</f>
        <v xml:space="preserve"> </v>
      </c>
      <c r="E53" s="18" t="str">
        <f>IF(ISBLANK(Input!E58)=TRUE," ",Input!E58)</f>
        <v xml:space="preserve"> </v>
      </c>
      <c r="F53" s="18" t="str">
        <f>IF(ISBLANK(Input!F58)=TRUE," ",Input!F58)</f>
        <v xml:space="preserve"> </v>
      </c>
      <c r="G53" s="18" t="str">
        <f>IF(ISBLANK(Input!G58)=TRUE," ",Input!G58)</f>
        <v>G</v>
      </c>
      <c r="H53" s="20" t="str">
        <f>IF(ISBLANK(Input!H58)=TRUE," ",Input!H58)</f>
        <v xml:space="preserve"> </v>
      </c>
      <c r="I53" s="21" t="str">
        <f>Input!I58</f>
        <v>L1</v>
      </c>
      <c r="J53" s="20" t="str">
        <f>IF(ISBLANK(Input!J58)=TRUE," ",Input!J58)</f>
        <v xml:space="preserve"> </v>
      </c>
      <c r="K53" s="18" t="str">
        <f>IF(ISBLANK(Input!K58)=TRUE," ",Input!K58)</f>
        <v>G</v>
      </c>
      <c r="L53" s="18" t="str">
        <f>IF(ISBLANK(Input!L58)=TRUE," ",Input!L58)</f>
        <v xml:space="preserve"> </v>
      </c>
      <c r="M53" s="18" t="str">
        <f>IF(ISBLANK(Input!M58)=TRUE," ",Input!M58)</f>
        <v xml:space="preserve"> </v>
      </c>
      <c r="N53" s="19" t="str">
        <f>IF(ISBLANK(Input!N58)=TRUE," ",Input!N58)</f>
        <v xml:space="preserve"> </v>
      </c>
      <c r="O53" s="18" t="str">
        <f>IF(ISBLANK(Input!O58)=TRUE," ",Input!O58)</f>
        <v xml:space="preserve"> </v>
      </c>
      <c r="P53" s="17">
        <v>62</v>
      </c>
      <c r="S53" s="1">
        <f>Input!T58</f>
        <v>1</v>
      </c>
    </row>
    <row r="54" spans="2:19" ht="12" customHeight="1">
      <c r="B54" s="17">
        <v>63</v>
      </c>
      <c r="C54" s="18" t="str">
        <f>IF(ISBLANK(Input!C59)=TRUE," ",Input!C59)</f>
        <v xml:space="preserve"> </v>
      </c>
      <c r="D54" s="19" t="str">
        <f>IF(ISBLANK(Input!D59)=TRUE," ",Input!D59)</f>
        <v xml:space="preserve"> </v>
      </c>
      <c r="E54" s="18" t="str">
        <f>IF(ISBLANK(Input!E59)=TRUE," ",Input!E59)</f>
        <v xml:space="preserve"> </v>
      </c>
      <c r="F54" s="18" t="str">
        <f>IF(ISBLANK(Input!F59)=TRUE," ",Input!F59)</f>
        <v xml:space="preserve"> </v>
      </c>
      <c r="G54" s="18" t="str">
        <f>IF(ISBLANK(Input!G59)=TRUE," ",Input!G59)</f>
        <v>G</v>
      </c>
      <c r="H54" s="20" t="str">
        <f>IF(ISBLANK(Input!H59)=TRUE," ",Input!H59)</f>
        <v xml:space="preserve"> </v>
      </c>
      <c r="I54" s="21" t="str">
        <f>Input!I59</f>
        <v>L2</v>
      </c>
      <c r="J54" s="20" t="str">
        <f>IF(ISBLANK(Input!J59)=TRUE," ",Input!J59)</f>
        <v xml:space="preserve"> </v>
      </c>
      <c r="K54" s="18" t="str">
        <f>IF(ISBLANK(Input!K59)=TRUE," ",Input!K59)</f>
        <v>G</v>
      </c>
      <c r="L54" s="18" t="str">
        <f>IF(ISBLANK(Input!L59)=TRUE," ",Input!L59)</f>
        <v xml:space="preserve"> </v>
      </c>
      <c r="M54" s="18" t="str">
        <f>IF(ISBLANK(Input!M59)=TRUE," ",Input!M59)</f>
        <v xml:space="preserve"> </v>
      </c>
      <c r="N54" s="19" t="str">
        <f>IF(ISBLANK(Input!N59)=TRUE," ",Input!N59)</f>
        <v xml:space="preserve"> </v>
      </c>
      <c r="O54" s="18" t="str">
        <f>IF(ISBLANK(Input!O59)=TRUE," ",Input!O59)</f>
        <v xml:space="preserve"> </v>
      </c>
      <c r="P54" s="17">
        <v>64</v>
      </c>
      <c r="S54" s="1">
        <f>Input!T59</f>
        <v>1</v>
      </c>
    </row>
    <row r="55" spans="2:19" ht="12" customHeight="1">
      <c r="B55" s="17">
        <v>65</v>
      </c>
      <c r="C55" s="18" t="str">
        <f>IF(ISBLANK(Input!C60)=TRUE," ",Input!C60)</f>
        <v xml:space="preserve"> </v>
      </c>
      <c r="D55" s="19" t="str">
        <f>IF(ISBLANK(Input!D60)=TRUE," ",Input!D60)</f>
        <v xml:space="preserve"> </v>
      </c>
      <c r="E55" s="18" t="str">
        <f>IF(ISBLANK(Input!E60)=TRUE," ",Input!E60)</f>
        <v xml:space="preserve"> </v>
      </c>
      <c r="F55" s="18" t="str">
        <f>IF(ISBLANK(Input!F60)=TRUE," ",Input!F60)</f>
        <v xml:space="preserve"> </v>
      </c>
      <c r="G55" s="18" t="str">
        <f>IF(ISBLANK(Input!G60)=TRUE," ",Input!G60)</f>
        <v>G</v>
      </c>
      <c r="H55" s="20" t="str">
        <f>IF(ISBLANK(Input!H60)=TRUE," ",Input!H60)</f>
        <v xml:space="preserve"> </v>
      </c>
      <c r="I55" s="21" t="str">
        <f>Input!I60</f>
        <v>L3</v>
      </c>
      <c r="J55" s="20" t="str">
        <f>IF(ISBLANK(Input!J60)=TRUE," ",Input!J60)</f>
        <v xml:space="preserve"> </v>
      </c>
      <c r="K55" s="18" t="str">
        <f>IF(ISBLANK(Input!K60)=TRUE," ",Input!K60)</f>
        <v>G</v>
      </c>
      <c r="L55" s="18" t="str">
        <f>IF(ISBLANK(Input!L60)=TRUE," ",Input!L60)</f>
        <v xml:space="preserve"> </v>
      </c>
      <c r="M55" s="18" t="str">
        <f>IF(ISBLANK(Input!M60)=TRUE," ",Input!M60)</f>
        <v xml:space="preserve"> </v>
      </c>
      <c r="N55" s="19" t="str">
        <f>IF(ISBLANK(Input!N60)=TRUE," ",Input!N60)</f>
        <v xml:space="preserve"> </v>
      </c>
      <c r="O55" s="18" t="str">
        <f>IF(ISBLANK(Input!O60)=TRUE," ",Input!O60)</f>
        <v xml:space="preserve"> </v>
      </c>
      <c r="P55" s="17">
        <v>66</v>
      </c>
      <c r="S55" s="1">
        <f>Input!T60</f>
        <v>1</v>
      </c>
    </row>
    <row r="56" spans="2:19" ht="12" customHeight="1">
      <c r="B56" s="17">
        <v>67</v>
      </c>
      <c r="C56" s="18" t="str">
        <f>IF(ISBLANK(Input!C61)=TRUE," ",Input!C61)</f>
        <v xml:space="preserve"> </v>
      </c>
      <c r="D56" s="19" t="str">
        <f>IF(ISBLANK(Input!D61)=TRUE," ",Input!D61)</f>
        <v xml:space="preserve"> </v>
      </c>
      <c r="E56" s="18" t="str">
        <f>IF(ISBLANK(Input!E61)=TRUE," ",Input!E61)</f>
        <v xml:space="preserve"> </v>
      </c>
      <c r="F56" s="18" t="str">
        <f>IF(ISBLANK(Input!F61)=TRUE," ",Input!F61)</f>
        <v xml:space="preserve"> </v>
      </c>
      <c r="G56" s="18" t="str">
        <f>IF(ISBLANK(Input!G61)=TRUE," ",Input!G61)</f>
        <v>G</v>
      </c>
      <c r="H56" s="20" t="str">
        <f>IF(ISBLANK(Input!H61)=TRUE," ",Input!H61)</f>
        <v xml:space="preserve"> </v>
      </c>
      <c r="I56" s="21" t="str">
        <f>Input!I61</f>
        <v>L1</v>
      </c>
      <c r="J56" s="20" t="str">
        <f>IF(ISBLANK(Input!J61)=TRUE," ",Input!J61)</f>
        <v xml:space="preserve"> </v>
      </c>
      <c r="K56" s="18" t="str">
        <f>IF(ISBLANK(Input!K61)=TRUE," ",Input!K61)</f>
        <v>G</v>
      </c>
      <c r="L56" s="18" t="str">
        <f>IF(ISBLANK(Input!L61)=TRUE," ",Input!L61)</f>
        <v xml:space="preserve"> </v>
      </c>
      <c r="M56" s="18" t="str">
        <f>IF(ISBLANK(Input!M61)=TRUE," ",Input!M61)</f>
        <v xml:space="preserve"> </v>
      </c>
      <c r="N56" s="19" t="str">
        <f>IF(ISBLANK(Input!N61)=TRUE," ",Input!N61)</f>
        <v xml:space="preserve"> </v>
      </c>
      <c r="O56" s="18" t="str">
        <f>IF(ISBLANK(Input!O61)=TRUE," ",Input!O61)</f>
        <v xml:space="preserve"> </v>
      </c>
      <c r="P56" s="17">
        <v>68</v>
      </c>
      <c r="S56" s="1">
        <f>Input!T61</f>
        <v>1</v>
      </c>
    </row>
    <row r="57" spans="2:19" ht="12" customHeight="1">
      <c r="B57" s="17">
        <v>69</v>
      </c>
      <c r="C57" s="18" t="str">
        <f>IF(ISBLANK(Input!C62)=TRUE," ",Input!C62)</f>
        <v xml:space="preserve"> </v>
      </c>
      <c r="D57" s="19" t="str">
        <f>IF(ISBLANK(Input!D62)=TRUE," ",Input!D62)</f>
        <v xml:space="preserve"> </v>
      </c>
      <c r="E57" s="18" t="str">
        <f>IF(ISBLANK(Input!E62)=TRUE," ",Input!E62)</f>
        <v xml:space="preserve"> </v>
      </c>
      <c r="F57" s="18" t="str">
        <f>IF(ISBLANK(Input!F62)=TRUE," ",Input!F62)</f>
        <v xml:space="preserve"> </v>
      </c>
      <c r="G57" s="18" t="str">
        <f>IF(ISBLANK(Input!G62)=TRUE," ",Input!G62)</f>
        <v>G</v>
      </c>
      <c r="H57" s="20" t="str">
        <f>IF(ISBLANK(Input!H62)=TRUE," ",Input!H62)</f>
        <v xml:space="preserve"> </v>
      </c>
      <c r="I57" s="21" t="str">
        <f>Input!I62</f>
        <v>L2</v>
      </c>
      <c r="J57" s="20" t="str">
        <f>IF(ISBLANK(Input!J62)=TRUE," ",Input!J62)</f>
        <v xml:space="preserve"> </v>
      </c>
      <c r="K57" s="18" t="str">
        <f>IF(ISBLANK(Input!K62)=TRUE," ",Input!K62)</f>
        <v>G</v>
      </c>
      <c r="L57" s="18" t="str">
        <f>IF(ISBLANK(Input!L62)=TRUE," ",Input!L62)</f>
        <v xml:space="preserve"> </v>
      </c>
      <c r="M57" s="18" t="str">
        <f>IF(ISBLANK(Input!M62)=TRUE," ",Input!M62)</f>
        <v xml:space="preserve"> </v>
      </c>
      <c r="N57" s="19" t="str">
        <f>IF(ISBLANK(Input!N62)=TRUE," ",Input!N62)</f>
        <v xml:space="preserve"> </v>
      </c>
      <c r="O57" s="18" t="str">
        <f>IF(ISBLANK(Input!O62)=TRUE," ",Input!O62)</f>
        <v xml:space="preserve"> </v>
      </c>
      <c r="P57" s="17">
        <v>70</v>
      </c>
      <c r="S57" s="1">
        <f>Input!T62</f>
        <v>1</v>
      </c>
    </row>
    <row r="58" spans="2:19" ht="12" customHeight="1">
      <c r="B58" s="17">
        <v>71</v>
      </c>
      <c r="C58" s="18" t="str">
        <f>IF(ISBLANK(Input!C63)=TRUE," ",Input!C63)</f>
        <v xml:space="preserve"> </v>
      </c>
      <c r="D58" s="19" t="str">
        <f>IF(ISBLANK(Input!D63)=TRUE," ",Input!D63)</f>
        <v xml:space="preserve"> </v>
      </c>
      <c r="E58" s="18" t="str">
        <f>IF(ISBLANK(Input!E63)=TRUE," ",Input!E63)</f>
        <v xml:space="preserve"> </v>
      </c>
      <c r="F58" s="18" t="str">
        <f>IF(ISBLANK(Input!F63)=TRUE," ",Input!F63)</f>
        <v xml:space="preserve"> </v>
      </c>
      <c r="G58" s="18" t="str">
        <f>IF(ISBLANK(Input!G63)=TRUE," ",Input!G63)</f>
        <v>G</v>
      </c>
      <c r="H58" s="20" t="str">
        <f>IF(ISBLANK(Input!H63)=TRUE," ",Input!H63)</f>
        <v xml:space="preserve"> </v>
      </c>
      <c r="I58" s="21" t="str">
        <f>Input!I63</f>
        <v>L3</v>
      </c>
      <c r="J58" s="20" t="str">
        <f>IF(ISBLANK(Input!J63)=TRUE," ",Input!J63)</f>
        <v xml:space="preserve"> </v>
      </c>
      <c r="K58" s="18" t="str">
        <f>IF(ISBLANK(Input!K63)=TRUE," ",Input!K63)</f>
        <v>G</v>
      </c>
      <c r="L58" s="18" t="str">
        <f>IF(ISBLANK(Input!L63)=TRUE," ",Input!L63)</f>
        <v xml:space="preserve"> </v>
      </c>
      <c r="M58" s="18" t="str">
        <f>IF(ISBLANK(Input!M63)=TRUE," ",Input!M63)</f>
        <v xml:space="preserve"> </v>
      </c>
      <c r="N58" s="19" t="str">
        <f>IF(ISBLANK(Input!N63)=TRUE," ",Input!N63)</f>
        <v xml:space="preserve"> </v>
      </c>
      <c r="O58" s="18" t="str">
        <f>IF(ISBLANK(Input!O63)=TRUE," ",Input!O63)</f>
        <v xml:space="preserve"> </v>
      </c>
      <c r="P58" s="17">
        <v>72</v>
      </c>
      <c r="S58" s="1">
        <f>Input!T63</f>
        <v>1</v>
      </c>
    </row>
    <row r="59" spans="2:19" ht="12" customHeight="1">
      <c r="B59" s="17">
        <v>73</v>
      </c>
      <c r="C59" s="18" t="str">
        <f>IF(ISBLANK(Input!C64)=TRUE," ",Input!C64)</f>
        <v xml:space="preserve"> </v>
      </c>
      <c r="D59" s="19" t="str">
        <f>IF(ISBLANK(Input!D64)=TRUE," ",Input!D64)</f>
        <v xml:space="preserve"> </v>
      </c>
      <c r="E59" s="18" t="str">
        <f>IF(ISBLANK(Input!E64)=TRUE," ",Input!E64)</f>
        <v xml:space="preserve"> </v>
      </c>
      <c r="F59" s="18" t="str">
        <f>IF(ISBLANK(Input!F64)=TRUE," ",Input!F64)</f>
        <v xml:space="preserve"> </v>
      </c>
      <c r="G59" s="18" t="str">
        <f>IF(ISBLANK(Input!G64)=TRUE," ",Input!G64)</f>
        <v>G</v>
      </c>
      <c r="H59" s="20" t="str">
        <f>IF(ISBLANK(Input!H64)=TRUE," ",Input!H64)</f>
        <v xml:space="preserve"> </v>
      </c>
      <c r="I59" s="21" t="str">
        <f>Input!I64</f>
        <v>L1</v>
      </c>
      <c r="J59" s="20" t="str">
        <f>IF(ISBLANK(Input!J64)=TRUE," ",Input!J64)</f>
        <v xml:space="preserve"> </v>
      </c>
      <c r="K59" s="18" t="str">
        <f>IF(ISBLANK(Input!K64)=TRUE," ",Input!K64)</f>
        <v>G</v>
      </c>
      <c r="L59" s="18" t="str">
        <f>IF(ISBLANK(Input!L64)=TRUE," ",Input!L64)</f>
        <v xml:space="preserve"> </v>
      </c>
      <c r="M59" s="18" t="str">
        <f>IF(ISBLANK(Input!M64)=TRUE," ",Input!M64)</f>
        <v xml:space="preserve"> </v>
      </c>
      <c r="N59" s="19" t="str">
        <f>IF(ISBLANK(Input!N64)=TRUE," ",Input!N64)</f>
        <v xml:space="preserve"> </v>
      </c>
      <c r="O59" s="18" t="str">
        <f>IF(ISBLANK(Input!O64)=TRUE," ",Input!O64)</f>
        <v xml:space="preserve"> </v>
      </c>
      <c r="P59" s="17">
        <v>74</v>
      </c>
      <c r="S59" s="1">
        <f>Input!T64</f>
        <v>1</v>
      </c>
    </row>
    <row r="60" spans="2:19" ht="12" customHeight="1">
      <c r="B60" s="17">
        <v>75</v>
      </c>
      <c r="C60" s="18" t="str">
        <f>IF(ISBLANK(Input!C65)=TRUE," ",Input!C65)</f>
        <v xml:space="preserve"> </v>
      </c>
      <c r="D60" s="19" t="str">
        <f>IF(ISBLANK(Input!D65)=TRUE," ",Input!D65)</f>
        <v xml:space="preserve"> </v>
      </c>
      <c r="E60" s="18" t="str">
        <f>IF(ISBLANK(Input!E65)=TRUE," ",Input!E65)</f>
        <v xml:space="preserve"> </v>
      </c>
      <c r="F60" s="18" t="str">
        <f>IF(ISBLANK(Input!F65)=TRUE," ",Input!F65)</f>
        <v xml:space="preserve"> </v>
      </c>
      <c r="G60" s="18" t="str">
        <f>IF(ISBLANK(Input!G65)=TRUE," ",Input!G65)</f>
        <v>G</v>
      </c>
      <c r="H60" s="20" t="str">
        <f>IF(ISBLANK(Input!H65)=TRUE," ",Input!H65)</f>
        <v xml:space="preserve"> </v>
      </c>
      <c r="I60" s="21" t="str">
        <f>Input!I65</f>
        <v>L2</v>
      </c>
      <c r="J60" s="20" t="str">
        <f>IF(ISBLANK(Input!J65)=TRUE," ",Input!J65)</f>
        <v xml:space="preserve"> </v>
      </c>
      <c r="K60" s="18" t="str">
        <f>IF(ISBLANK(Input!K65)=TRUE," ",Input!K65)</f>
        <v>G</v>
      </c>
      <c r="L60" s="18" t="str">
        <f>IF(ISBLANK(Input!L65)=TRUE," ",Input!L65)</f>
        <v xml:space="preserve"> </v>
      </c>
      <c r="M60" s="18" t="str">
        <f>IF(ISBLANK(Input!M65)=TRUE," ",Input!M65)</f>
        <v xml:space="preserve"> </v>
      </c>
      <c r="N60" s="19" t="str">
        <f>IF(ISBLANK(Input!N65)=TRUE," ",Input!N65)</f>
        <v xml:space="preserve"> </v>
      </c>
      <c r="O60" s="18" t="str">
        <f>IF(ISBLANK(Input!O65)=TRUE," ",Input!O65)</f>
        <v xml:space="preserve"> </v>
      </c>
      <c r="P60" s="17">
        <v>76</v>
      </c>
      <c r="S60" s="1">
        <f>Input!T65</f>
        <v>1</v>
      </c>
    </row>
    <row r="61" spans="2:19" ht="12" customHeight="1">
      <c r="B61" s="17">
        <v>77</v>
      </c>
      <c r="C61" s="18" t="str">
        <f>IF(ISBLANK(Input!C66)=TRUE," ",Input!C66)</f>
        <v xml:space="preserve"> </v>
      </c>
      <c r="D61" s="19" t="str">
        <f>IF(ISBLANK(Input!D66)=TRUE," ",Input!D66)</f>
        <v xml:space="preserve"> </v>
      </c>
      <c r="E61" s="18" t="str">
        <f>IF(ISBLANK(Input!E66)=TRUE," ",Input!E66)</f>
        <v xml:space="preserve"> </v>
      </c>
      <c r="F61" s="18" t="str">
        <f>IF(ISBLANK(Input!F66)=TRUE," ",Input!F66)</f>
        <v xml:space="preserve"> </v>
      </c>
      <c r="G61" s="18" t="str">
        <f>IF(ISBLANK(Input!G66)=TRUE," ",Input!G66)</f>
        <v>G</v>
      </c>
      <c r="H61" s="20" t="str">
        <f>IF(ISBLANK(Input!H66)=TRUE," ",Input!H66)</f>
        <v xml:space="preserve"> </v>
      </c>
      <c r="I61" s="21" t="str">
        <f>Input!I66</f>
        <v>L3</v>
      </c>
      <c r="J61" s="20" t="str">
        <f>IF(ISBLANK(Input!J66)=TRUE," ",Input!J66)</f>
        <v xml:space="preserve"> </v>
      </c>
      <c r="K61" s="18" t="str">
        <f>IF(ISBLANK(Input!K66)=TRUE," ",Input!K66)</f>
        <v>G</v>
      </c>
      <c r="L61" s="18" t="str">
        <f>IF(ISBLANK(Input!L66)=TRUE," ",Input!L66)</f>
        <v xml:space="preserve"> </v>
      </c>
      <c r="M61" s="18" t="str">
        <f>IF(ISBLANK(Input!M66)=TRUE," ",Input!M66)</f>
        <v xml:space="preserve"> </v>
      </c>
      <c r="N61" s="19" t="str">
        <f>IF(ISBLANK(Input!N66)=TRUE," ",Input!N66)</f>
        <v xml:space="preserve"> </v>
      </c>
      <c r="O61" s="18" t="str">
        <f>IF(ISBLANK(Input!O66)=TRUE," ",Input!O66)</f>
        <v xml:space="preserve"> </v>
      </c>
      <c r="P61" s="17">
        <v>78</v>
      </c>
      <c r="S61" s="1">
        <f>Input!T66</f>
        <v>1</v>
      </c>
    </row>
    <row r="62" spans="2:19" ht="12" customHeight="1">
      <c r="B62" s="17">
        <v>79</v>
      </c>
      <c r="C62" s="18" t="str">
        <f>IF(ISBLANK(Input!C67)=TRUE," ",Input!C67)</f>
        <v xml:space="preserve"> </v>
      </c>
      <c r="D62" s="19" t="str">
        <f>IF(ISBLANK(Input!D67)=TRUE," ",Input!D67)</f>
        <v xml:space="preserve"> </v>
      </c>
      <c r="E62" s="18" t="str">
        <f>IF(ISBLANK(Input!E67)=TRUE," ",Input!E67)</f>
        <v xml:space="preserve"> </v>
      </c>
      <c r="F62" s="18" t="str">
        <f>IF(ISBLANK(Input!F67)=TRUE," ",Input!F67)</f>
        <v xml:space="preserve"> </v>
      </c>
      <c r="G62" s="18" t="str">
        <f>IF(ISBLANK(Input!G67)=TRUE," ",Input!G67)</f>
        <v>G</v>
      </c>
      <c r="H62" s="20" t="str">
        <f>IF(ISBLANK(Input!H67)=TRUE," ",Input!H67)</f>
        <v xml:space="preserve"> </v>
      </c>
      <c r="I62" s="21" t="str">
        <f>Input!I67</f>
        <v>L1</v>
      </c>
      <c r="J62" s="20" t="str">
        <f>IF(ISBLANK(Input!J67)=TRUE," ",Input!J67)</f>
        <v xml:space="preserve"> </v>
      </c>
      <c r="K62" s="18" t="str">
        <f>IF(ISBLANK(Input!K67)=TRUE," ",Input!K67)</f>
        <v>G</v>
      </c>
      <c r="L62" s="18" t="str">
        <f>IF(ISBLANK(Input!L67)=TRUE," ",Input!L67)</f>
        <v xml:space="preserve"> </v>
      </c>
      <c r="M62" s="18" t="str">
        <f>IF(ISBLANK(Input!M67)=TRUE," ",Input!M67)</f>
        <v xml:space="preserve"> </v>
      </c>
      <c r="N62" s="19" t="str">
        <f>IF(ISBLANK(Input!N67)=TRUE," ",Input!N67)</f>
        <v xml:space="preserve"> </v>
      </c>
      <c r="O62" s="18" t="str">
        <f>IF(ISBLANK(Input!O67)=TRUE," ",Input!O67)</f>
        <v xml:space="preserve"> </v>
      </c>
      <c r="P62" s="17">
        <v>80</v>
      </c>
      <c r="S62" s="1">
        <f>Input!T67</f>
        <v>1</v>
      </c>
    </row>
    <row r="63" spans="2:19" ht="12" customHeight="1">
      <c r="B63" s="17">
        <v>81</v>
      </c>
      <c r="C63" s="18" t="str">
        <f>IF(ISBLANK(Input!C68)=TRUE," ",Input!C68)</f>
        <v xml:space="preserve"> </v>
      </c>
      <c r="D63" s="19" t="str">
        <f>IF(ISBLANK(Input!D68)=TRUE," ",Input!D68)</f>
        <v xml:space="preserve"> </v>
      </c>
      <c r="E63" s="18" t="str">
        <f>IF(ISBLANK(Input!E68)=TRUE," ",Input!E68)</f>
        <v xml:space="preserve"> </v>
      </c>
      <c r="F63" s="18" t="str">
        <f>IF(ISBLANK(Input!F68)=TRUE," ",Input!F68)</f>
        <v xml:space="preserve"> </v>
      </c>
      <c r="G63" s="18" t="str">
        <f>IF(ISBLANK(Input!G68)=TRUE," ",Input!G68)</f>
        <v>G</v>
      </c>
      <c r="H63" s="20" t="str">
        <f>IF(ISBLANK(Input!H68)=TRUE," ",Input!H68)</f>
        <v xml:space="preserve"> </v>
      </c>
      <c r="I63" s="21" t="str">
        <f>Input!I68</f>
        <v>L2</v>
      </c>
      <c r="J63" s="20" t="str">
        <f>IF(ISBLANK(Input!J68)=TRUE," ",Input!J68)</f>
        <v xml:space="preserve"> </v>
      </c>
      <c r="K63" s="18" t="str">
        <f>IF(ISBLANK(Input!K68)=TRUE," ",Input!K68)</f>
        <v>G</v>
      </c>
      <c r="L63" s="18" t="str">
        <f>IF(ISBLANK(Input!L68)=TRUE," ",Input!L68)</f>
        <v xml:space="preserve"> </v>
      </c>
      <c r="M63" s="18" t="str">
        <f>IF(ISBLANK(Input!M68)=TRUE," ",Input!M68)</f>
        <v xml:space="preserve"> </v>
      </c>
      <c r="N63" s="19" t="str">
        <f>IF(ISBLANK(Input!N68)=TRUE," ",Input!N68)</f>
        <v xml:space="preserve"> </v>
      </c>
      <c r="O63" s="18" t="str">
        <f>IF(ISBLANK(Input!O68)=TRUE," ",Input!O68)</f>
        <v xml:space="preserve"> </v>
      </c>
      <c r="P63" s="17">
        <v>82</v>
      </c>
      <c r="S63" s="1">
        <f>Input!T68</f>
        <v>1</v>
      </c>
    </row>
    <row r="64" spans="2:19" ht="12" customHeight="1">
      <c r="B64" s="17">
        <v>83</v>
      </c>
      <c r="C64" s="18" t="str">
        <f>IF(ISBLANK(Input!C69)=TRUE," ",Input!C69)</f>
        <v xml:space="preserve"> </v>
      </c>
      <c r="D64" s="19" t="str">
        <f>IF(ISBLANK(Input!D69)=TRUE," ",Input!D69)</f>
        <v xml:space="preserve"> </v>
      </c>
      <c r="E64" s="18" t="str">
        <f>IF(ISBLANK(Input!E69)=TRUE," ",Input!E69)</f>
        <v xml:space="preserve"> </v>
      </c>
      <c r="F64" s="18" t="str">
        <f>IF(ISBLANK(Input!F69)=TRUE," ",Input!F69)</f>
        <v xml:space="preserve"> </v>
      </c>
      <c r="G64" s="18" t="str">
        <f>IF(ISBLANK(Input!G69)=TRUE," ",Input!G69)</f>
        <v>G</v>
      </c>
      <c r="H64" s="20" t="str">
        <f>IF(ISBLANK(Input!H69)=TRUE," ",Input!H69)</f>
        <v xml:space="preserve"> </v>
      </c>
      <c r="I64" s="21" t="str">
        <f>Input!I69</f>
        <v>L3</v>
      </c>
      <c r="J64" s="20" t="str">
        <f>IF(ISBLANK(Input!J69)=TRUE," ",Input!J69)</f>
        <v xml:space="preserve"> </v>
      </c>
      <c r="K64" s="18" t="str">
        <f>IF(ISBLANK(Input!K69)=TRUE," ",Input!K69)</f>
        <v>G</v>
      </c>
      <c r="L64" s="18" t="str">
        <f>IF(ISBLANK(Input!L69)=TRUE," ",Input!L69)</f>
        <v xml:space="preserve"> </v>
      </c>
      <c r="M64" s="18" t="str">
        <f>IF(ISBLANK(Input!M69)=TRUE," ",Input!M69)</f>
        <v xml:space="preserve"> </v>
      </c>
      <c r="N64" s="19" t="str">
        <f>IF(ISBLANK(Input!N69)=TRUE," ",Input!N69)</f>
        <v xml:space="preserve"> </v>
      </c>
      <c r="O64" s="18" t="str">
        <f>IF(ISBLANK(Input!O69)=TRUE," ",Input!O69)</f>
        <v xml:space="preserve"> </v>
      </c>
      <c r="P64" s="17">
        <v>84</v>
      </c>
      <c r="S64" s="1">
        <f>Input!T69</f>
        <v>1</v>
      </c>
    </row>
    <row r="65" ht="12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t="12" hidden="1" customHeight="1"/>
    <row r="182" ht="12" hidden="1" customHeight="1"/>
    <row r="183" ht="12" hidden="1" customHeight="1"/>
    <row r="184" ht="12" hidden="1" customHeight="1"/>
    <row r="185" ht="12" hidden="1" customHeight="1"/>
    <row r="186" ht="12" hidden="1" customHeight="1"/>
    <row r="187" ht="12" hidden="1" customHeight="1"/>
    <row r="188" ht="12" hidden="1" customHeight="1"/>
    <row r="189" ht="12" hidden="1" customHeight="1"/>
    <row r="190" ht="12" hidden="1" customHeight="1"/>
    <row r="191" ht="12" hidden="1" customHeight="1"/>
    <row r="192" ht="12" hidden="1" customHeight="1"/>
    <row r="193" ht="12" hidden="1" customHeight="1"/>
    <row r="194" ht="12" hidden="1" customHeight="1"/>
    <row r="195" ht="12" hidden="1" customHeight="1"/>
    <row r="196" ht="12" hidden="1" customHeight="1"/>
    <row r="197" ht="12" hidden="1" customHeight="1"/>
    <row r="198" ht="12" hidden="1" customHeight="1"/>
    <row r="199" ht="12" hidden="1" customHeight="1"/>
    <row r="200" ht="12" hidden="1" customHeight="1"/>
    <row r="201" ht="12" hidden="1" customHeight="1"/>
    <row r="202" ht="12" hidden="1" customHeight="1"/>
    <row r="203" ht="12" hidden="1" customHeight="1"/>
    <row r="204" ht="12" hidden="1" customHeight="1"/>
    <row r="205" ht="12" hidden="1" customHeight="1"/>
    <row r="206" ht="12" hidden="1" customHeight="1"/>
    <row r="207" ht="12" hidden="1" customHeight="1"/>
  </sheetData>
  <sheetProtection password="DC0A" sheet="1" objects="1" scenarios="1"/>
  <phoneticPr fontId="0" type="noConversion"/>
  <conditionalFormatting sqref="C2:C22 B1:B22 Q1:Q64 A1:A64 D1:P22">
    <cfRule type="expression" dxfId="285" priority="1" stopIfTrue="1">
      <formula>IF($S$2&gt;0,TRUE,FALSE)</formula>
    </cfRule>
  </conditionalFormatting>
  <conditionalFormatting sqref="C1">
    <cfRule type="expression" dxfId="284" priority="2" stopIfTrue="1">
      <formula>IF($S$2&gt;0,TRUE,FALSE)</formula>
    </cfRule>
  </conditionalFormatting>
  <conditionalFormatting sqref="B23:B64 H23:P64 C26:G64">
    <cfRule type="expression" dxfId="283" priority="3" stopIfTrue="1">
      <formula>IF($S$2&gt;0,TRUE,FALSE)</formula>
    </cfRule>
    <cfRule type="expression" dxfId="282" priority="4" stopIfTrue="1">
      <formula>IF($S23=0,TRUE,FALSE)</formula>
    </cfRule>
  </conditionalFormatting>
  <conditionalFormatting sqref="C23:G25">
    <cfRule type="expression" dxfId="281" priority="5" stopIfTrue="1">
      <formula>IF($S$2&gt;0,TRUE,FALSE)</formula>
    </cfRule>
    <cfRule type="expression" dxfId="280" priority="6" stopIfTrue="1">
      <formula>IF($S23=0,TRUE,FALSE)</formula>
    </cfRule>
  </conditionalFormatting>
  <pageMargins left="0.5" right="0" top="0.5" bottom="0" header="0.5" footer="0.5"/>
  <pageSetup scale="80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BX200"/>
  <sheetViews>
    <sheetView showGridLines="0" showRowColHeaders="0" showOutlineSymbols="0" workbookViewId="0"/>
  </sheetViews>
  <sheetFormatPr defaultColWidth="0" defaultRowHeight="12" customHeight="1" zeroHeight="1"/>
  <cols>
    <col min="1" max="1" width="2.83203125" style="30" customWidth="1"/>
    <col min="2" max="2" width="2.5" style="30" customWidth="1"/>
    <col min="3" max="3" width="3.1640625" style="30" customWidth="1"/>
    <col min="4" max="4" width="4.5" style="30" customWidth="1"/>
    <col min="5" max="5" width="32.5" style="30" customWidth="1"/>
    <col min="6" max="6" width="9.33203125" style="30" customWidth="1"/>
    <col min="7" max="7" width="3.83203125" style="30" customWidth="1"/>
    <col min="8" max="8" width="4.83203125" style="30" customWidth="1"/>
    <col min="9" max="9" width="9.33203125" style="30" customWidth="1"/>
    <col min="10" max="10" width="3.83203125" style="30" customWidth="1"/>
    <col min="11" max="11" width="6.83203125" style="30" customWidth="1"/>
    <col min="12" max="12" width="9.33203125" style="30" customWidth="1"/>
    <col min="13" max="13" width="3.83203125" style="30" customWidth="1"/>
    <col min="14" max="14" width="4.83203125" style="30" customWidth="1"/>
    <col min="15" max="15" width="9.33203125" style="30" customWidth="1"/>
    <col min="16" max="16" width="3.83203125" style="30" customWidth="1"/>
    <col min="17" max="18" width="2.83203125" style="30" customWidth="1"/>
    <col min="19" max="16384" width="10.83203125" style="30" hidden="1"/>
  </cols>
  <sheetData>
    <row r="1" spans="2:76" ht="12" customHeight="1"/>
    <row r="2" spans="2:76" ht="12" customHeight="1">
      <c r="B2" s="549"/>
      <c r="C2" s="41" t="str">
        <f>Input!W4</f>
        <v>LOAD CALCULATIONS FOR "PANEL CP1"</v>
      </c>
      <c r="D2" s="41"/>
      <c r="E2" s="41"/>
      <c r="F2" s="318"/>
      <c r="G2" s="550"/>
      <c r="H2" s="41"/>
      <c r="I2" s="41"/>
      <c r="J2" s="551"/>
      <c r="K2" s="551"/>
      <c r="L2" s="541"/>
      <c r="M2" s="283"/>
      <c r="N2" s="247"/>
      <c r="O2" s="247"/>
      <c r="P2" s="551" t="s">
        <v>989</v>
      </c>
      <c r="Q2" s="42"/>
      <c r="Z2" s="30" t="s">
        <v>406</v>
      </c>
      <c r="AA2" s="236" t="s">
        <v>55</v>
      </c>
      <c r="AB2" s="236" t="s">
        <v>56</v>
      </c>
      <c r="AC2" s="236" t="s">
        <v>57</v>
      </c>
      <c r="AD2" s="236" t="s">
        <v>232</v>
      </c>
      <c r="AF2" s="30" t="s">
        <v>406</v>
      </c>
      <c r="AG2" s="236" t="s">
        <v>55</v>
      </c>
      <c r="AH2" s="236" t="s">
        <v>56</v>
      </c>
      <c r="AI2" s="236" t="s">
        <v>57</v>
      </c>
      <c r="AJ2" s="236" t="s">
        <v>232</v>
      </c>
      <c r="AL2" s="30" t="s">
        <v>406</v>
      </c>
      <c r="AM2" s="236" t="s">
        <v>55</v>
      </c>
      <c r="AN2" s="236" t="s">
        <v>56</v>
      </c>
      <c r="AO2" s="236" t="s">
        <v>57</v>
      </c>
      <c r="AP2" s="236" t="s">
        <v>232</v>
      </c>
      <c r="BL2" s="30" t="str">
        <f>'Output-Input'!H15</f>
        <v>3Y</v>
      </c>
    </row>
    <row r="3" spans="2:76" ht="12" customHeight="1">
      <c r="B3" s="33"/>
      <c r="C3" s="29" t="s">
        <v>989</v>
      </c>
      <c r="D3" s="239"/>
      <c r="E3" s="240"/>
      <c r="F3" s="27"/>
      <c r="G3" s="235"/>
      <c r="H3" s="241"/>
      <c r="I3" s="235"/>
      <c r="J3" s="236"/>
      <c r="K3" s="236"/>
      <c r="M3" s="242"/>
      <c r="N3" s="238"/>
      <c r="O3" s="238"/>
      <c r="P3" s="238"/>
      <c r="Q3" s="34"/>
      <c r="U3" s="30" t="s">
        <v>782</v>
      </c>
      <c r="V3" s="237">
        <f>'S-Input'!H8</f>
        <v>1</v>
      </c>
      <c r="Y3" s="525" t="s">
        <v>779</v>
      </c>
      <c r="Z3" s="525" t="s">
        <v>61</v>
      </c>
      <c r="AA3" s="525">
        <f>Input!AG75</f>
        <v>0</v>
      </c>
      <c r="AB3" s="525">
        <f>Input!AI75</f>
        <v>0</v>
      </c>
      <c r="AC3" s="525"/>
      <c r="AD3" s="525">
        <f>SUM(AA3:AC3)</f>
        <v>0</v>
      </c>
      <c r="AF3" s="30" t="s">
        <v>61</v>
      </c>
      <c r="AG3" s="30">
        <f>Input!AG75</f>
        <v>0</v>
      </c>
      <c r="AI3" s="30">
        <f>Input!AK75</f>
        <v>0</v>
      </c>
      <c r="AJ3" s="30">
        <f>SUM(AG3:AI3)</f>
        <v>0</v>
      </c>
      <c r="AL3" s="30" t="s">
        <v>61</v>
      </c>
      <c r="AM3" s="30">
        <f>Input!AG75</f>
        <v>0</v>
      </c>
      <c r="AN3" s="30">
        <f>Input!AI75</f>
        <v>0</v>
      </c>
      <c r="AO3" s="30">
        <f>Input!AK75</f>
        <v>0</v>
      </c>
      <c r="AP3" s="30">
        <f>SUM(AM3:AO3)</f>
        <v>0</v>
      </c>
      <c r="BL3" s="30">
        <f>IF(AND(V7=1,V16="3D")," ",Input!BC75)</f>
        <v>0</v>
      </c>
      <c r="BN3" s="30">
        <f>IF(AND(V7=1,V16="3D"),Input!BC75,IF(V7=1," ",Input!BE75))</f>
        <v>0</v>
      </c>
    </row>
    <row r="4" spans="2:76" ht="12" customHeight="1">
      <c r="B4" s="33"/>
      <c r="C4" s="555"/>
      <c r="D4" s="555"/>
      <c r="E4" s="240"/>
      <c r="F4" s="236" t="s">
        <v>55</v>
      </c>
      <c r="H4" s="27"/>
      <c r="I4" s="236" t="str">
        <f>IF(AND(V7=1,V16="3D")," ","L2")</f>
        <v>L2</v>
      </c>
      <c r="J4" s="236"/>
      <c r="K4" s="236"/>
      <c r="L4" s="236" t="str">
        <f>IF(AND(V7=1,V16="3D"),"L3",IF(V7=1," ","L3"))</f>
        <v>L3</v>
      </c>
      <c r="M4" s="236"/>
      <c r="N4" s="236"/>
      <c r="O4" s="238"/>
      <c r="P4" s="238" t="str">
        <f>IF(V11="AUTO","NEUTRAL "," ")</f>
        <v xml:space="preserve"> </v>
      </c>
      <c r="Q4" s="34"/>
      <c r="U4" s="30" t="s">
        <v>793</v>
      </c>
      <c r="V4" s="37">
        <f>IF(Input!O15="NONE",0,'S-Input'!CF14)</f>
        <v>0</v>
      </c>
      <c r="W4" s="29"/>
      <c r="X4" s="29"/>
      <c r="Y4" s="526" t="s">
        <v>770</v>
      </c>
      <c r="Z4" s="526" t="s">
        <v>61</v>
      </c>
      <c r="AA4" s="526">
        <f>'S-Calcs'!AA3</f>
        <v>0</v>
      </c>
      <c r="AB4" s="526">
        <f>'S-Calcs'!AB3</f>
        <v>0</v>
      </c>
      <c r="AC4" s="526"/>
      <c r="AD4" s="526">
        <f>'S-Calcs'!AD3</f>
        <v>0</v>
      </c>
      <c r="AG4" s="30">
        <v>10000</v>
      </c>
      <c r="AI4" s="30">
        <v>10000</v>
      </c>
      <c r="AM4" s="30">
        <v>10000</v>
      </c>
      <c r="AN4" s="30">
        <v>10000</v>
      </c>
      <c r="AO4" s="30">
        <v>10000</v>
      </c>
      <c r="AU4" s="30" t="s">
        <v>789</v>
      </c>
      <c r="BF4" s="555"/>
      <c r="BG4" s="555"/>
      <c r="BH4" s="240"/>
      <c r="BI4" s="236" t="s">
        <v>55</v>
      </c>
      <c r="BK4" s="27"/>
      <c r="BL4" s="236" t="s">
        <v>56</v>
      </c>
      <c r="BM4" s="236"/>
      <c r="BN4" s="236"/>
      <c r="BO4" s="236" t="str">
        <f>IF(BY7=1," ","L3")</f>
        <v>L3</v>
      </c>
      <c r="BP4" s="236"/>
    </row>
    <row r="5" spans="2:76" ht="12" customHeight="1">
      <c r="B5" s="33"/>
      <c r="C5" s="555" t="s">
        <v>248</v>
      </c>
      <c r="D5" s="555"/>
      <c r="E5" s="240"/>
      <c r="F5" s="238">
        <f>BI5</f>
        <v>7100</v>
      </c>
      <c r="G5" s="27" t="s">
        <v>90</v>
      </c>
      <c r="H5" s="27"/>
      <c r="I5" s="238">
        <f>IF(AND(V7=1,V16="3D")," ",BL5)</f>
        <v>7100</v>
      </c>
      <c r="J5" s="27" t="str">
        <f>IF(AND(V7=1,V16="3D")," ","VA")</f>
        <v>VA</v>
      </c>
      <c r="K5" s="236"/>
      <c r="L5" s="238">
        <f>IF(AND(V7=1,V16="3D"),BO5,IF(V7=1," ",BO5))</f>
        <v>1100</v>
      </c>
      <c r="M5" s="27" t="str">
        <f>IF(AND(V7=1,V16="3D"),"VA",IF(V7=1," ","VA"))</f>
        <v>VA</v>
      </c>
      <c r="N5" s="236"/>
      <c r="O5" s="238" t="str">
        <f>IF(V11="AUTO",BT12," ")</f>
        <v xml:space="preserve"> </v>
      </c>
      <c r="P5" s="28" t="str">
        <f>IF(V11="AUTO","VA"," ")</f>
        <v xml:space="preserve"> </v>
      </c>
      <c r="Q5" s="34"/>
      <c r="S5" s="30">
        <f>IF(AND(V7=1,V16="3D"),Input!X75,IF(V7=1," ",IF(V7="3D",Input!Y75,IF(V7="3Y",Input!Y75,0))))</f>
        <v>1100</v>
      </c>
      <c r="T5" s="237"/>
      <c r="V5" s="29"/>
      <c r="W5" s="29"/>
      <c r="X5" s="29"/>
      <c r="AA5" s="30">
        <f>IF(Input!$O$15="1-PHASE",SUM(AA3:AA4),AA3)</f>
        <v>0</v>
      </c>
      <c r="AB5" s="30">
        <f>IF(Input!$O$15="1-PHASE",SUM(AB3:AB4),AB3)</f>
        <v>0</v>
      </c>
      <c r="AD5" s="30">
        <f>SUM(AA5:AC5)</f>
        <v>0</v>
      </c>
      <c r="BF5" s="555" t="s">
        <v>248</v>
      </c>
      <c r="BG5" s="555"/>
      <c r="BH5" s="240"/>
      <c r="BI5" s="238">
        <f>IF($V$13="NONE",BI6,SUM(BI6:BI7))</f>
        <v>7100</v>
      </c>
      <c r="BJ5" s="27"/>
      <c r="BK5" s="27"/>
      <c r="BL5" s="238">
        <f>IF($V$13="NONE",BL6,SUM(BL6:BL7))</f>
        <v>7100</v>
      </c>
      <c r="BM5" s="27"/>
      <c r="BN5" s="236"/>
      <c r="BO5" s="238">
        <f>IF($V$13="NONE",BO6,SUM(BO6:BO7))</f>
        <v>1100</v>
      </c>
      <c r="BP5" s="27"/>
      <c r="BQ5" s="238" t="str">
        <f>IF($V$13="NONE",BQ6,SUM(BQ6:BQ7))</f>
        <v xml:space="preserve"> </v>
      </c>
      <c r="BS5" s="237" t="str">
        <f>V7</f>
        <v>3Y</v>
      </c>
      <c r="BT5" s="30" t="s">
        <v>473</v>
      </c>
    </row>
    <row r="6" spans="2:76" ht="12" customHeight="1">
      <c r="B6" s="33"/>
      <c r="C6" s="555"/>
      <c r="D6" s="29" t="str">
        <f>IF(T6=888,"ERROR IN MAIN PANEL",IF(V4&gt;0,"ERROR IN SUB PANEL",IF(T6&gt;0,"LOAD CALCULATIONS WILL NOT DISPLAY UNTIL ALL ERRORS ARE CORRECTED"," ")))</f>
        <v xml:space="preserve"> </v>
      </c>
      <c r="E6" s="35"/>
      <c r="F6" s="238"/>
      <c r="G6" s="244"/>
      <c r="H6" s="244"/>
      <c r="I6" s="238"/>
      <c r="J6" s="237"/>
      <c r="K6" s="237"/>
      <c r="L6" s="238"/>
      <c r="M6" s="245"/>
      <c r="N6" s="238"/>
      <c r="O6" s="238"/>
      <c r="P6" s="245"/>
      <c r="Q6" s="34"/>
      <c r="T6" s="237">
        <f>Input!CF14+V4</f>
        <v>0</v>
      </c>
      <c r="U6" s="237">
        <f>Input!CF14</f>
        <v>0</v>
      </c>
      <c r="AA6" s="30">
        <v>10000</v>
      </c>
      <c r="AB6" s="30">
        <v>10000</v>
      </c>
      <c r="AF6" s="30" t="s">
        <v>402</v>
      </c>
      <c r="AG6" s="30" t="e">
        <f>AG3/AJ3</f>
        <v>#DIV/0!</v>
      </c>
      <c r="AI6" s="30" t="e">
        <f>AI3/AJ3</f>
        <v>#DIV/0!</v>
      </c>
      <c r="AJ6" s="30" t="e">
        <f>SUM(AG6:AI6)</f>
        <v>#DIV/0!</v>
      </c>
      <c r="AL6" s="30" t="s">
        <v>403</v>
      </c>
      <c r="AM6" s="30" t="e">
        <f>AM3/AP3</f>
        <v>#DIV/0!</v>
      </c>
      <c r="AN6" s="30" t="e">
        <f>AN3/AP3</f>
        <v>#DIV/0!</v>
      </c>
      <c r="AO6" s="30" t="e">
        <f>AO3/AP3</f>
        <v>#DIV/0!</v>
      </c>
      <c r="AP6" s="30" t="e">
        <f>SUM(AM6:AO6)</f>
        <v>#DIV/0!</v>
      </c>
      <c r="AS6" s="30" t="str">
        <f>IF(AND(V7=1,V16="3D"),"3D"," ")</f>
        <v xml:space="preserve"> </v>
      </c>
      <c r="AV6" s="30" t="s">
        <v>55</v>
      </c>
      <c r="AW6" s="30" t="s">
        <v>56</v>
      </c>
      <c r="AX6" s="30" t="s">
        <v>57</v>
      </c>
      <c r="BF6" s="556" t="s">
        <v>779</v>
      </c>
      <c r="BG6" s="29"/>
      <c r="BH6" s="35"/>
      <c r="BI6" s="504">
        <f>IF(V7=1,Input!W75,IF(V7="3D",Input!W75,IF(V7="3Y",Input!W75,0)))</f>
        <v>7100</v>
      </c>
      <c r="BJ6" s="506"/>
      <c r="BK6" s="506"/>
      <c r="BL6" s="504">
        <f>IF(AND(V7=1,V16="3D")," ",Input!X75)</f>
        <v>7100</v>
      </c>
      <c r="BM6" s="509"/>
      <c r="BN6" s="507"/>
      <c r="BO6" s="504">
        <f>IF(AND(V7=1,V16="3D"),Input!X75,IF(V7=1," ",Input!Y75))</f>
        <v>1100</v>
      </c>
      <c r="BP6" s="510"/>
      <c r="BQ6" s="30" t="str">
        <f>IF(V11="AUTO",IF(X25&gt;V31,X25,V31)," ")</f>
        <v xml:space="preserve"> </v>
      </c>
      <c r="BT6" s="30" t="s">
        <v>55</v>
      </c>
      <c r="BU6" s="30" t="s">
        <v>56</v>
      </c>
      <c r="BV6" s="30" t="s">
        <v>57</v>
      </c>
    </row>
    <row r="7" spans="2:76" ht="12" customHeight="1">
      <c r="B7" s="33"/>
      <c r="C7" s="555" t="s">
        <v>249</v>
      </c>
      <c r="D7" s="29"/>
      <c r="E7" s="35"/>
      <c r="F7" s="238"/>
      <c r="G7" s="244"/>
      <c r="H7" s="244"/>
      <c r="I7" s="238"/>
      <c r="J7" s="237"/>
      <c r="K7" s="237"/>
      <c r="L7" s="238"/>
      <c r="M7" s="245"/>
      <c r="N7" s="238"/>
      <c r="O7" s="238"/>
      <c r="P7" s="245"/>
      <c r="Q7" s="34"/>
      <c r="S7" s="237"/>
      <c r="U7" s="30" t="s">
        <v>21</v>
      </c>
      <c r="V7" s="238" t="str">
        <f>Input!H8</f>
        <v>3Y</v>
      </c>
      <c r="W7" s="238"/>
      <c r="X7" s="238"/>
      <c r="Z7" s="30" t="s">
        <v>401</v>
      </c>
      <c r="AA7" s="30" t="e">
        <f>AA5/AD5</f>
        <v>#DIV/0!</v>
      </c>
      <c r="AB7" s="30" t="e">
        <f>AB5/AD5</f>
        <v>#DIV/0!</v>
      </c>
      <c r="AD7" s="30" t="e">
        <f>SUM(AA7:AC7)</f>
        <v>#DIV/0!</v>
      </c>
      <c r="AG7" s="30" t="e">
        <f>ROUND((AG4*AG6),0)</f>
        <v>#DIV/0!</v>
      </c>
      <c r="AI7" s="30" t="e">
        <f>ROUND((AI4*AI6),0)</f>
        <v>#DIV/0!</v>
      </c>
      <c r="AJ7" s="30" t="e">
        <f>SUM(AG7:AI7)</f>
        <v>#DIV/0!</v>
      </c>
      <c r="AM7" s="30" t="e">
        <f>ROUND((AM4*AM6),0)</f>
        <v>#DIV/0!</v>
      </c>
      <c r="AN7" s="30" t="e">
        <f>ROUND((AN4*AN6),0)</f>
        <v>#DIV/0!</v>
      </c>
      <c r="AO7" s="30" t="e">
        <f>ROUND((AO4*AO6),0)</f>
        <v>#DIV/0!</v>
      </c>
      <c r="AP7" s="30" t="e">
        <f>SUM(AM7:AO7)</f>
        <v>#DIV/0!</v>
      </c>
      <c r="AS7" s="540" t="str">
        <f>IF(AND(V7=1,V16="3D"),"3D",IF(V7=1,1," "))</f>
        <v xml:space="preserve"> </v>
      </c>
      <c r="AT7" s="534"/>
      <c r="AU7" s="534" t="s">
        <v>401</v>
      </c>
      <c r="AV7" s="534" t="str">
        <f>IF(AS7="3D",Input!AG75,IF(AS7=1,Input!AG75," "))</f>
        <v xml:space="preserve"> </v>
      </c>
      <c r="AW7" s="534" t="str">
        <f>IF(AS7=1,Input!AI75," ")</f>
        <v xml:space="preserve"> </v>
      </c>
      <c r="AX7" s="535" t="str">
        <f>IF(AS7="3D",Input!AI75," ")</f>
        <v xml:space="preserve"> </v>
      </c>
      <c r="BF7" s="557" t="s">
        <v>770</v>
      </c>
      <c r="BG7" s="29"/>
      <c r="BH7" s="35"/>
      <c r="BI7" s="503">
        <f>'S-Calcs'!F5</f>
        <v>0</v>
      </c>
      <c r="BJ7" s="519"/>
      <c r="BK7" s="503"/>
      <c r="BL7" s="503">
        <f>'S-Calcs'!I5</f>
        <v>0</v>
      </c>
      <c r="BM7" s="503"/>
      <c r="BN7" s="503"/>
      <c r="BO7" s="503" t="str">
        <f>'S-Calcs'!L5</f>
        <v xml:space="preserve"> </v>
      </c>
      <c r="BP7" s="503"/>
      <c r="BS7" s="30" t="s">
        <v>779</v>
      </c>
      <c r="BT7" s="237">
        <f>IF(BS5=1,Input!BK75,IF(BS5="3D",Input!BG75,IF(BS5="3Y",Input!BO75)))</f>
        <v>0</v>
      </c>
      <c r="BU7" s="237">
        <f>IF(BS5=1,Input!BM75,IF(BS5="3D"," ",IF(BS5="3Y",Input!BQ75)))</f>
        <v>0</v>
      </c>
      <c r="BV7" s="237">
        <f>IF(BS5=1," ",IF(BS5="3D",Input!BI75,IF(BS5="3Y",Input!BS75)))</f>
        <v>0</v>
      </c>
      <c r="BX7" s="237">
        <f>MAX(BT7:BV7)</f>
        <v>0</v>
      </c>
    </row>
    <row r="8" spans="2:76" ht="12" customHeight="1">
      <c r="B8" s="33"/>
      <c r="C8" s="555"/>
      <c r="D8" s="29" t="s">
        <v>239</v>
      </c>
      <c r="E8" s="35"/>
      <c r="F8" s="238">
        <f>BI12</f>
        <v>7100</v>
      </c>
      <c r="G8" s="28" t="s">
        <v>90</v>
      </c>
      <c r="H8" s="244"/>
      <c r="I8" s="238">
        <f>IF(AND(V7=1,V16="3D")," ",BL12)</f>
        <v>7100</v>
      </c>
      <c r="J8" s="237" t="str">
        <f>IF(AND(V7=1,V16="3D")," ","VA")</f>
        <v>VA</v>
      </c>
      <c r="K8" s="237"/>
      <c r="L8" s="238">
        <f>IF(AND(V7=1,V16="3D"),BO12,IF(V7=1," ",BO12))</f>
        <v>1100</v>
      </c>
      <c r="M8" s="245" t="str">
        <f>IF(AND(V7=1,V16="3D"),"VA",IF(V7=1," ","VA"))</f>
        <v>VA</v>
      </c>
      <c r="N8" s="238"/>
      <c r="O8" s="238"/>
      <c r="P8" s="245"/>
      <c r="Q8" s="34"/>
      <c r="S8" s="237"/>
      <c r="U8" s="30" t="s">
        <v>399</v>
      </c>
      <c r="V8" s="238">
        <f>Input!H6</f>
        <v>240</v>
      </c>
      <c r="W8" s="238"/>
      <c r="X8" s="238"/>
      <c r="AA8" s="30" t="e">
        <f>ROUND((AA6*AA7),0)</f>
        <v>#DIV/0!</v>
      </c>
      <c r="AB8" s="30" t="e">
        <f>ROUND((AB6*AB7),0)</f>
        <v>#DIV/0!</v>
      </c>
      <c r="AD8" s="30" t="e">
        <f>SUM(AA8:AC8)</f>
        <v>#DIV/0!</v>
      </c>
      <c r="AF8" s="189" t="s">
        <v>405</v>
      </c>
      <c r="AG8" s="265">
        <f>IF(AJ3&gt;10000,AG7,AG3)</f>
        <v>0</v>
      </c>
      <c r="AH8" s="265"/>
      <c r="AI8" s="266">
        <f>IF(AJ3&gt;10000,AI7,AI3)</f>
        <v>0</v>
      </c>
      <c r="AJ8" s="30">
        <f>SUM(AG8:AI8)</f>
        <v>0</v>
      </c>
      <c r="AL8" s="189" t="s">
        <v>405</v>
      </c>
      <c r="AM8" s="265">
        <f>IF(AP3&gt;10000,AM7,AM3)</f>
        <v>0</v>
      </c>
      <c r="AN8" s="265">
        <f>IF(AP3&gt;10000,AN7,AN3)</f>
        <v>0</v>
      </c>
      <c r="AO8" s="266">
        <f>IF(AP3&gt;10000,AO7,AO3)</f>
        <v>0</v>
      </c>
      <c r="AP8" s="30">
        <f>SUM(AM8:AO8)</f>
        <v>0</v>
      </c>
      <c r="AS8" s="606" t="str">
        <f>Input!H8</f>
        <v>3Y</v>
      </c>
      <c r="AT8" s="525"/>
      <c r="AU8" s="525" t="s">
        <v>402</v>
      </c>
      <c r="AV8" s="525" t="str">
        <f>IF(AS8="3D",Input!AG75," ")</f>
        <v xml:space="preserve"> </v>
      </c>
      <c r="AW8" s="525"/>
      <c r="AX8" s="536" t="str">
        <f>IF(AS8="3D",Input!AK75," ")</f>
        <v xml:space="preserve"> </v>
      </c>
      <c r="BF8" s="30" t="s">
        <v>108</v>
      </c>
      <c r="BI8" s="237">
        <f>SUM(BI5:BO5)</f>
        <v>15300</v>
      </c>
      <c r="BK8" s="237"/>
      <c r="BS8" s="30" t="s">
        <v>770</v>
      </c>
      <c r="BT8" s="237" t="str">
        <f>IF(BT16="NONE"," ",IF($V$13="NONE"," ",'S-Input'!BR83))</f>
        <v xml:space="preserve"> </v>
      </c>
      <c r="BU8" s="237" t="str">
        <f>IF(BT16="NONE"," ",IF($V$13="NONE"," ",'S-Input'!BR84))</f>
        <v xml:space="preserve"> </v>
      </c>
      <c r="BV8" s="237" t="str">
        <f>IF(BT16="NONE"," ",IF($V$13="NONE"," ",'S-Input'!BR85))</f>
        <v xml:space="preserve"> </v>
      </c>
    </row>
    <row r="9" spans="2:76" ht="12" customHeight="1">
      <c r="B9" s="33"/>
      <c r="C9" s="555"/>
      <c r="D9" s="29" t="s">
        <v>397</v>
      </c>
      <c r="E9" s="35"/>
      <c r="F9" s="238"/>
      <c r="G9" s="243"/>
      <c r="H9" s="244"/>
      <c r="I9" s="238"/>
      <c r="J9" s="237"/>
      <c r="K9" s="237"/>
      <c r="L9" s="238"/>
      <c r="M9" s="245"/>
      <c r="N9" s="238"/>
      <c r="O9" s="238"/>
      <c r="P9" s="245"/>
      <c r="Q9" s="34"/>
      <c r="U9" s="30" t="s">
        <v>400</v>
      </c>
      <c r="V9" s="238">
        <f>Input!H7</f>
        <v>120</v>
      </c>
      <c r="W9" s="238"/>
      <c r="X9" s="238"/>
      <c r="Z9" s="189" t="s">
        <v>405</v>
      </c>
      <c r="AA9" s="265">
        <f>IF(AD5&gt;10000,AA8,AA5)</f>
        <v>0</v>
      </c>
      <c r="AB9" s="266">
        <f>IF(AD5&gt;10000,AB8,AB5)</f>
        <v>0</v>
      </c>
      <c r="AD9" s="30">
        <f>SUM(AA9:AC9)</f>
        <v>0</v>
      </c>
      <c r="AF9" s="189" t="str">
        <f>IF(AJ3&gt;10000,"REMAINDER @ 50%"," ")</f>
        <v xml:space="preserve"> </v>
      </c>
      <c r="AG9" s="265" t="str">
        <f>IF(AJ3&gt;10000,ROUND((AG3-AG7)*0.5,0)," ")</f>
        <v xml:space="preserve"> </v>
      </c>
      <c r="AH9" s="265"/>
      <c r="AI9" s="266" t="str">
        <f>IF(AJ3&gt;10000,ROUND((AI3-AI7)*0.5,0)," ")</f>
        <v xml:space="preserve"> </v>
      </c>
      <c r="AJ9" s="30">
        <f>SUM(AG9:AI9)</f>
        <v>0</v>
      </c>
      <c r="AL9" s="189" t="str">
        <f>IF(AP3&gt;10000,"REMAINDER @ 50%"," ")</f>
        <v xml:space="preserve"> </v>
      </c>
      <c r="AM9" s="265" t="str">
        <f>IF(AP3&gt;10000,ROUND((AM3-AM7)*0.5,0)," ")</f>
        <v xml:space="preserve"> </v>
      </c>
      <c r="AN9" s="265" t="str">
        <f>IF(AP3&gt;10000,ROUND((AN3-AN7)*0.5,0)," ")</f>
        <v xml:space="preserve"> </v>
      </c>
      <c r="AO9" s="266" t="str">
        <f>IF(AP3&gt;10000,ROUND((AO3-AO7)*0.5,0)," ")</f>
        <v xml:space="preserve"> </v>
      </c>
      <c r="AP9" s="30">
        <f>SUM(AM9:AO9)</f>
        <v>0</v>
      </c>
      <c r="AS9" s="607" t="str">
        <f>Input!H8</f>
        <v>3Y</v>
      </c>
      <c r="AT9" s="537"/>
      <c r="AU9" s="537" t="s">
        <v>403</v>
      </c>
      <c r="AV9" s="537">
        <f>IF(AS9="3Y",Input!AG75," ")</f>
        <v>0</v>
      </c>
      <c r="AW9" s="537">
        <f>IF(AS9="3Y",Input!AI75," ")</f>
        <v>0</v>
      </c>
      <c r="AX9" s="538">
        <f>IF(AS9="3Y",Input!AK75," ")</f>
        <v>0</v>
      </c>
      <c r="BT9" s="237"/>
      <c r="BU9" s="237"/>
      <c r="BV9" s="237"/>
    </row>
    <row r="10" spans="2:76" ht="12" customHeight="1">
      <c r="B10" s="33"/>
      <c r="C10" s="555"/>
      <c r="D10" s="29"/>
      <c r="E10" s="35" t="s">
        <v>404</v>
      </c>
      <c r="F10" s="238">
        <f>AV32</f>
        <v>0</v>
      </c>
      <c r="G10" s="237" t="s">
        <v>90</v>
      </c>
      <c r="H10" s="244"/>
      <c r="I10" s="238">
        <f>IF(AND(V7=1,V16="3D")," ",AW32)</f>
        <v>0</v>
      </c>
      <c r="J10" s="237" t="str">
        <f>IF(AND(V7=1,V16="3D")," ","VA")</f>
        <v>VA</v>
      </c>
      <c r="K10" s="237"/>
      <c r="L10" s="238">
        <f>IF(AND(V7=1,V16="3D"),AX32,IF(V7=1," ",AX32))</f>
        <v>0</v>
      </c>
      <c r="M10" s="245" t="str">
        <f>IF(AND(V7=1,V16="3D"),"VA",IF(V7=1," ","VA"))</f>
        <v>VA</v>
      </c>
      <c r="N10" s="238"/>
      <c r="O10" s="238"/>
      <c r="P10" s="245"/>
      <c r="Q10" s="34"/>
      <c r="U10" s="30" t="s">
        <v>409</v>
      </c>
      <c r="V10" s="507">
        <f>Input!H20</f>
        <v>0</v>
      </c>
      <c r="W10" s="507"/>
      <c r="X10" s="521"/>
      <c r="Z10" s="189" t="str">
        <f>IF(AD3&gt;10000,"REMAINDER @ 50%"," ")</f>
        <v xml:space="preserve"> </v>
      </c>
      <c r="AA10" s="265" t="str">
        <f>IF(AD3&gt;10000,ROUND((AA5-AA8)*0.5,0)," ")</f>
        <v xml:space="preserve"> </v>
      </c>
      <c r="AB10" s="266" t="str">
        <f>IF(AD3&gt;10000,ROUND((AB5-AB8)*0.5,0)," ")</f>
        <v xml:space="preserve"> </v>
      </c>
      <c r="AD10" s="30">
        <f>SUM(AA10:AC10)</f>
        <v>0</v>
      </c>
      <c r="BF10" s="555" t="s">
        <v>249</v>
      </c>
      <c r="BG10" s="29"/>
      <c r="BH10" s="35"/>
      <c r="BI10" s="238"/>
      <c r="BJ10" s="244"/>
      <c r="BK10" s="244"/>
      <c r="BL10" s="238"/>
      <c r="BM10" s="237"/>
      <c r="BN10" s="237"/>
      <c r="BO10" s="238"/>
      <c r="BP10" s="245"/>
      <c r="BS10" s="30" t="s">
        <v>840</v>
      </c>
      <c r="BT10" s="237">
        <f>SUM(BT7:BT8)</f>
        <v>0</v>
      </c>
      <c r="BU10" s="237">
        <f>SUM(BU7:BU8)</f>
        <v>0</v>
      </c>
      <c r="BV10" s="237">
        <f>SUM(BV7:BV8)</f>
        <v>0</v>
      </c>
    </row>
    <row r="11" spans="2:76" ht="12" customHeight="1">
      <c r="B11" s="33"/>
      <c r="C11" s="555"/>
      <c r="D11" s="29"/>
      <c r="E11" s="35" t="str">
        <f>IF($V$7=1,Z10,IF($V$7="3D",AF9,IF($V$7="3Y",AL9,0)))</f>
        <v xml:space="preserve"> </v>
      </c>
      <c r="F11" s="238" t="str">
        <f>IF(AV33=0," ",AV33)</f>
        <v xml:space="preserve"> </v>
      </c>
      <c r="G11" s="243" t="str">
        <f>IF(F11=" "," ","VA")</f>
        <v xml:space="preserve"> </v>
      </c>
      <c r="H11" s="244"/>
      <c r="I11" s="238" t="str">
        <f>IF(AND(V7=1,V16="3D")," ",IF(AW33=0," ",AW33))</f>
        <v xml:space="preserve"> </v>
      </c>
      <c r="J11" s="243" t="str">
        <f>IF(I11=" "," ",IF(AND(V7=1,V16="3D")," ","VA"))</f>
        <v xml:space="preserve"> </v>
      </c>
      <c r="K11" s="237"/>
      <c r="L11" s="238" t="str">
        <f>IF(AND(V7=1,V16="3D"),AX33,IF(V7=1," ",AX33))</f>
        <v xml:space="preserve"> </v>
      </c>
      <c r="M11" s="243" t="str">
        <f>IF(L11=" "," ",IF(AND(V7=1,V16="3D"),"VA",IF(V7=1," ","VA")))</f>
        <v xml:space="preserve"> </v>
      </c>
      <c r="N11" s="238"/>
      <c r="O11" s="238"/>
      <c r="P11" s="245"/>
      <c r="Q11" s="34"/>
      <c r="U11" s="30" t="s">
        <v>413</v>
      </c>
      <c r="V11" s="236" t="str">
        <f>Input!H10</f>
        <v>FULL</v>
      </c>
      <c r="W11" s="236"/>
      <c r="X11" s="236"/>
      <c r="BF11" s="555"/>
      <c r="BG11" s="29"/>
      <c r="BH11" s="35"/>
      <c r="BI11" s="238"/>
      <c r="BJ11" s="244"/>
      <c r="BK11" s="244"/>
      <c r="BL11" s="238"/>
      <c r="BM11" s="237"/>
      <c r="BN11" s="237"/>
      <c r="BO11" s="238"/>
      <c r="BP11" s="245"/>
      <c r="BT11" s="237"/>
      <c r="BU11" s="237"/>
      <c r="BV11" s="237"/>
    </row>
    <row r="12" spans="2:76" ht="12" customHeight="1">
      <c r="B12" s="33"/>
      <c r="C12" s="555"/>
      <c r="D12" s="29" t="s">
        <v>240</v>
      </c>
      <c r="E12" s="35"/>
      <c r="F12" s="238">
        <f>BI18</f>
        <v>0</v>
      </c>
      <c r="G12" s="243" t="s">
        <v>90</v>
      </c>
      <c r="H12" s="244"/>
      <c r="I12" s="238">
        <f>IF(AND(V7=1,V16="3D")," ",BL18)</f>
        <v>0</v>
      </c>
      <c r="J12" s="237" t="str">
        <f>IF(AND(V7=1,V16="3D")," ","VA")</f>
        <v>VA</v>
      </c>
      <c r="K12" s="237"/>
      <c r="L12" s="238">
        <f>IF(AND(V7=1,V16="3D"),BO18,IF(V7=1," ",BO18))</f>
        <v>0</v>
      </c>
      <c r="M12" s="245" t="str">
        <f>IF(AND(V7=1,V16="3D"),"VA",IF(V7=1," ","VA"))</f>
        <v>VA</v>
      </c>
      <c r="N12" s="238"/>
      <c r="O12" s="238"/>
      <c r="P12" s="245"/>
      <c r="Q12" s="34"/>
      <c r="U12" s="30" t="s">
        <v>571</v>
      </c>
      <c r="V12" s="236" t="str">
        <f>Input!H9</f>
        <v>CONDUIT</v>
      </c>
      <c r="W12" s="236"/>
      <c r="X12" s="236"/>
      <c r="Z12" s="30" t="s">
        <v>243</v>
      </c>
      <c r="AA12" s="30">
        <v>1</v>
      </c>
      <c r="AB12" s="30">
        <v>1</v>
      </c>
      <c r="AL12" s="305" t="s">
        <v>149</v>
      </c>
      <c r="AM12" s="306"/>
      <c r="AN12" s="306"/>
      <c r="AO12" s="307"/>
      <c r="AS12" s="539" t="s">
        <v>770</v>
      </c>
      <c r="AT12" s="527"/>
      <c r="AU12" s="527"/>
      <c r="AV12" s="527">
        <f>'S-Calcs'!AF11</f>
        <v>0</v>
      </c>
      <c r="AW12" s="527">
        <f>'S-Calcs'!AG11</f>
        <v>0</v>
      </c>
      <c r="AX12" s="528" t="str">
        <f>'S-Calcs'!AH11</f>
        <v xml:space="preserve"> </v>
      </c>
      <c r="BF12" s="555"/>
      <c r="BG12" s="29" t="s">
        <v>239</v>
      </c>
      <c r="BH12" s="35"/>
      <c r="BI12" s="238">
        <f>IF($V$13="NONE",BI13,SUM(BI13:BI14))</f>
        <v>7100</v>
      </c>
      <c r="BJ12" s="28"/>
      <c r="BK12" s="244"/>
      <c r="BL12" s="238">
        <f>IF($V$13="NONE",BL13,SUM(BL13:BL14))</f>
        <v>7100</v>
      </c>
      <c r="BM12" s="237"/>
      <c r="BN12" s="237"/>
      <c r="BO12" s="238">
        <f>IF(BY10=1," ",IF($V$13="NONE",BO13,SUM(BO13:BO14)))</f>
        <v>1100</v>
      </c>
      <c r="BP12" s="245"/>
      <c r="BS12" s="30" t="s">
        <v>193</v>
      </c>
      <c r="BT12" s="237">
        <f>ROUND(MAX(BT10:BV10),0)</f>
        <v>0</v>
      </c>
      <c r="BU12" s="237"/>
      <c r="BV12" s="237"/>
    </row>
    <row r="13" spans="2:76" ht="12" customHeight="1">
      <c r="B13" s="33"/>
      <c r="C13" s="555"/>
      <c r="D13" s="29"/>
      <c r="E13" s="35" t="s">
        <v>407</v>
      </c>
      <c r="F13" s="238">
        <f>ROUND(F12*0.25,0)</f>
        <v>0</v>
      </c>
      <c r="G13" s="243" t="s">
        <v>90</v>
      </c>
      <c r="H13" s="244"/>
      <c r="I13" s="238">
        <f>IF(AND(V7=1,V16="3D")," ",ROUND(I12*0.25,0))</f>
        <v>0</v>
      </c>
      <c r="J13" s="243" t="str">
        <f>IF(AND(V7=1,V16="3D")," ","VA")</f>
        <v>VA</v>
      </c>
      <c r="K13" s="237"/>
      <c r="L13" s="238">
        <f>IF(AND(V7=1,V16="3D"),ROUND(L12*0.25,0),IF(V7=1," ",ROUND(L12*0.25,0)))</f>
        <v>0</v>
      </c>
      <c r="M13" s="245" t="str">
        <f>IF(AND(V7=1,V16="3D"),"VA",IF(V7=1," ","VA"))</f>
        <v>VA</v>
      </c>
      <c r="N13" s="238"/>
      <c r="O13" s="238"/>
      <c r="P13" s="245"/>
      <c r="Q13" s="34"/>
      <c r="U13" s="30" t="s">
        <v>780</v>
      </c>
      <c r="V13" s="236" t="str">
        <f>Input!O15</f>
        <v>NONE</v>
      </c>
      <c r="Z13" s="30" t="s">
        <v>388</v>
      </c>
      <c r="AA13" s="30">
        <v>2</v>
      </c>
      <c r="AB13" s="30">
        <v>1</v>
      </c>
      <c r="AL13" s="308" t="s">
        <v>239</v>
      </c>
      <c r="AM13" s="237">
        <f>Input!AA75</f>
        <v>7100</v>
      </c>
      <c r="AN13" s="237">
        <f>Input!AC75</f>
        <v>7100</v>
      </c>
      <c r="AO13" s="309">
        <f>Input!AE75</f>
        <v>1100</v>
      </c>
      <c r="AS13" s="529"/>
      <c r="AT13" s="526"/>
      <c r="AU13" s="526"/>
      <c r="AV13" s="526"/>
      <c r="AW13" s="526"/>
      <c r="AX13" s="530"/>
      <c r="BF13" s="555"/>
      <c r="BG13" s="518" t="s">
        <v>779</v>
      </c>
      <c r="BH13" s="35"/>
      <c r="BI13" s="504">
        <f>IF(V7=1,Input!AA75,IF(V7="3D",Input!AA75,IF(V7="3Y",Input!AA75,0)))</f>
        <v>7100</v>
      </c>
      <c r="BJ13" s="509"/>
      <c r="BK13" s="506"/>
      <c r="BL13" s="504">
        <f>IF(AND(V7=1,V16="3D")," ",Input!AC75)</f>
        <v>7100</v>
      </c>
      <c r="BM13" s="507"/>
      <c r="BN13" s="507"/>
      <c r="BO13" s="504">
        <f>IF(AND(V7=1,V16="3D"),Input!AC75,IF(V7=1," ",Input!AE75))</f>
        <v>1100</v>
      </c>
      <c r="BP13" s="508"/>
      <c r="BT13" s="237"/>
      <c r="BU13" s="237"/>
      <c r="BV13" s="237"/>
    </row>
    <row r="14" spans="2:76" ht="12" customHeight="1">
      <c r="B14" s="33"/>
      <c r="C14" s="555"/>
      <c r="D14" s="29" t="s">
        <v>241</v>
      </c>
      <c r="E14" s="35"/>
      <c r="F14" s="238">
        <f>BI23</f>
        <v>0</v>
      </c>
      <c r="G14" s="243" t="s">
        <v>90</v>
      </c>
      <c r="H14" s="244"/>
      <c r="I14" s="238">
        <f>IF(AND(V7=1,V16="3D")," ",BL23)</f>
        <v>0</v>
      </c>
      <c r="J14" s="243" t="str">
        <f>IF(AND(V7=1,V16="3D")," ","VA")</f>
        <v>VA</v>
      </c>
      <c r="K14" s="237"/>
      <c r="L14" s="238">
        <f>IF(AND(V7=1,V16="3D"),BO23,IF(V7=1," ",BO23))</f>
        <v>0</v>
      </c>
      <c r="M14" s="245" t="str">
        <f>IF(AND(V7=1,V16="3D"),"VA",IF(V7=1," ","VA"))</f>
        <v>VA</v>
      </c>
      <c r="N14" s="238"/>
      <c r="O14" s="238"/>
      <c r="P14" s="245"/>
      <c r="Q14" s="34"/>
      <c r="U14" s="30" t="s">
        <v>847</v>
      </c>
      <c r="V14" s="30" t="s">
        <v>983</v>
      </c>
      <c r="AA14" s="30">
        <v>3</v>
      </c>
      <c r="AB14" s="30">
        <v>0.9</v>
      </c>
      <c r="AL14" s="308" t="s">
        <v>58</v>
      </c>
      <c r="AM14" s="30">
        <f>IF($V$7=1,AA3,IF($V$7="3D",AG3,IF($V$7="3Y",AM3,0)))</f>
        <v>0</v>
      </c>
      <c r="AN14" s="30">
        <f>IF($V$7=1,AB3,IF($V$7="3D",0,IF($V$7="3Y",AN3,0)))</f>
        <v>0</v>
      </c>
      <c r="AO14" s="310">
        <f>IF($V$7=1,0,IF($V$7="3D",AI3,IF($V$7="3Y",AO3,0)))</f>
        <v>0</v>
      </c>
      <c r="AS14" s="531"/>
      <c r="AT14" s="532"/>
      <c r="AU14" s="532"/>
      <c r="AV14" s="532"/>
      <c r="AW14" s="532"/>
      <c r="AX14" s="533"/>
      <c r="BF14" s="555"/>
      <c r="BG14" s="517" t="s">
        <v>770</v>
      </c>
      <c r="BH14" s="35"/>
      <c r="BI14" s="503">
        <f>'S-Calcs'!F8</f>
        <v>0</v>
      </c>
      <c r="BJ14" s="519"/>
      <c r="BK14" s="520"/>
      <c r="BL14" s="503">
        <f>'S-Calcs'!I8</f>
        <v>0</v>
      </c>
      <c r="BM14" s="521"/>
      <c r="BN14" s="521"/>
      <c r="BO14" s="503" t="str">
        <f>'S-Calcs'!L8</f>
        <v xml:space="preserve"> </v>
      </c>
      <c r="BP14" s="511"/>
      <c r="BS14" s="30" t="s">
        <v>48</v>
      </c>
      <c r="BT14" s="30">
        <f>ROUND(BT12/V9,1)</f>
        <v>0</v>
      </c>
    </row>
    <row r="15" spans="2:76" ht="12" customHeight="1">
      <c r="B15" s="33"/>
      <c r="C15" s="555"/>
      <c r="D15" s="29"/>
      <c r="E15" s="35" t="s">
        <v>408</v>
      </c>
      <c r="F15" s="238">
        <f>ROUND(BI28*0.25,0)</f>
        <v>0</v>
      </c>
      <c r="G15" s="243" t="s">
        <v>90</v>
      </c>
      <c r="H15" s="244"/>
      <c r="I15" s="238">
        <f>IF(AND(V7=1,V16="3D")," ",ROUND(BL28*0.25,0))</f>
        <v>0</v>
      </c>
      <c r="J15" s="243" t="str">
        <f>IF(AND(V7=1,V16="3D")," ","VA")</f>
        <v>VA</v>
      </c>
      <c r="K15" s="237"/>
      <c r="L15" s="238">
        <f>IF(AND(V7=1,V16="3D"),ROUND((BO28*0.25),0),IF(V7=1," ",ROUND((BO28*0.25),0)))</f>
        <v>0</v>
      </c>
      <c r="M15" s="245" t="str">
        <f>IF(AND(V7=1,V16="3D"),"VA",IF(V7=1," ","VA"))</f>
        <v>VA</v>
      </c>
      <c r="N15" s="238"/>
      <c r="O15" s="238"/>
      <c r="P15" s="245"/>
      <c r="Q15" s="34"/>
      <c r="U15" s="454" t="s">
        <v>845</v>
      </c>
      <c r="V15" s="598" t="s">
        <v>983</v>
      </c>
      <c r="AA15" s="30">
        <v>4</v>
      </c>
      <c r="AB15" s="30">
        <v>0.8</v>
      </c>
      <c r="AL15" s="308" t="s">
        <v>78</v>
      </c>
      <c r="AM15" s="237">
        <f>Input!AM75</f>
        <v>0</v>
      </c>
      <c r="AN15" s="237">
        <f>Input!AO75</f>
        <v>0</v>
      </c>
      <c r="AO15" s="309">
        <f>Input!AQ75</f>
        <v>0</v>
      </c>
      <c r="AS15" s="526"/>
      <c r="AT15" s="526"/>
      <c r="AU15" s="526"/>
      <c r="AV15" s="526"/>
      <c r="AW15" s="526"/>
      <c r="AX15" s="526"/>
    </row>
    <row r="16" spans="2:76" ht="12" customHeight="1">
      <c r="B16" s="33"/>
      <c r="C16" s="555"/>
      <c r="D16" s="555" t="s">
        <v>244</v>
      </c>
      <c r="E16" s="35"/>
      <c r="F16" s="238"/>
      <c r="G16" s="243"/>
      <c r="H16" s="244"/>
      <c r="I16" s="238"/>
      <c r="J16" s="243"/>
      <c r="K16" s="237"/>
      <c r="L16" s="238"/>
      <c r="M16" s="245"/>
      <c r="N16" s="238"/>
      <c r="O16" s="238"/>
      <c r="P16" s="245"/>
      <c r="Q16" s="34"/>
      <c r="S16" s="237"/>
      <c r="U16" s="237" t="s">
        <v>863</v>
      </c>
      <c r="V16" s="30" t="str">
        <f>'Output-Input'!H15</f>
        <v>3Y</v>
      </c>
      <c r="AA16" s="30">
        <v>5</v>
      </c>
      <c r="AB16" s="30">
        <v>0.7</v>
      </c>
      <c r="AL16" s="308" t="s">
        <v>242</v>
      </c>
      <c r="AM16" s="237">
        <f>Input!AU75</f>
        <v>0</v>
      </c>
      <c r="AN16" s="237">
        <f>Input!AW75</f>
        <v>0</v>
      </c>
      <c r="AO16" s="309">
        <f>Input!AY75</f>
        <v>0</v>
      </c>
      <c r="AS16" s="526"/>
      <c r="AT16" s="526"/>
      <c r="AU16" s="526"/>
      <c r="AV16" s="526"/>
      <c r="AW16" s="526"/>
      <c r="AX16" s="526"/>
      <c r="BT16" s="30">
        <f>IF(BT17=BT18,"NONE",IF(BT17=BT19,"NONE",0))</f>
        <v>0</v>
      </c>
    </row>
    <row r="17" spans="2:72" ht="12" customHeight="1">
      <c r="B17" s="33"/>
      <c r="C17" s="555"/>
      <c r="D17" s="555"/>
      <c r="E17" s="35" t="str">
        <f>AF20</f>
        <v xml:space="preserve">L1 ( 0 X 1 ) = </v>
      </c>
      <c r="F17" s="238">
        <f>ROUND(AA20*Z18,0)</f>
        <v>0</v>
      </c>
      <c r="G17" s="243" t="s">
        <v>90</v>
      </c>
      <c r="H17" s="244"/>
      <c r="I17" s="238"/>
      <c r="J17" s="243"/>
      <c r="K17" s="237"/>
      <c r="L17" s="238"/>
      <c r="M17" s="245"/>
      <c r="N17" s="238"/>
      <c r="O17" s="238"/>
      <c r="P17" s="245"/>
      <c r="Q17" s="34"/>
      <c r="U17" s="30" t="s">
        <v>21</v>
      </c>
      <c r="AA17" s="30">
        <v>6</v>
      </c>
      <c r="AB17" s="30">
        <v>0.65</v>
      </c>
      <c r="AL17" s="308" t="s">
        <v>409</v>
      </c>
      <c r="AM17" s="30">
        <f>AA20</f>
        <v>0</v>
      </c>
      <c r="AN17" s="30">
        <f>AA21</f>
        <v>0</v>
      </c>
      <c r="AO17" s="310">
        <f>AA22</f>
        <v>0</v>
      </c>
      <c r="AS17" s="571"/>
      <c r="AT17" s="526"/>
      <c r="AU17" s="526"/>
      <c r="AV17" s="526"/>
      <c r="AW17" s="526"/>
      <c r="AX17" s="526"/>
      <c r="BF17" s="454"/>
      <c r="BG17" s="454"/>
      <c r="BH17" s="454"/>
      <c r="BI17" s="454"/>
      <c r="BJ17" s="454"/>
      <c r="BK17" s="454"/>
      <c r="BL17" s="454"/>
      <c r="BM17" s="454"/>
      <c r="BN17" s="454"/>
      <c r="BO17" s="454"/>
      <c r="BP17" s="454"/>
      <c r="BT17" s="589" t="str">
        <f>'S-Input'!D4</f>
        <v>CP1</v>
      </c>
    </row>
    <row r="18" spans="2:72" ht="12" customHeight="1">
      <c r="B18" s="33"/>
      <c r="C18" s="555"/>
      <c r="D18" s="29"/>
      <c r="E18" s="35" t="str">
        <f>AF21</f>
        <v xml:space="preserve">L2 ( 0 X 1 ) = </v>
      </c>
      <c r="F18" s="238"/>
      <c r="G18" s="243"/>
      <c r="H18" s="244"/>
      <c r="I18" s="238">
        <f>IF(AND(V7=1,V16="3D")," ",ROUND(AA21*Z18,0))</f>
        <v>0</v>
      </c>
      <c r="J18" s="237" t="str">
        <f>IF(AND(V7=1,V16="3D")," ","VA")</f>
        <v>VA</v>
      </c>
      <c r="K18" s="237"/>
      <c r="L18" s="238"/>
      <c r="M18" s="245"/>
      <c r="N18" s="238"/>
      <c r="O18" s="238"/>
      <c r="P18" s="245"/>
      <c r="Q18" s="34"/>
      <c r="Z18" s="30">
        <f>IF(BI38=0,1,VLOOKUP(BI38,AA12:AB17,2))</f>
        <v>1</v>
      </c>
      <c r="AL18" s="308"/>
      <c r="AO18" s="310"/>
      <c r="AS18" s="526"/>
      <c r="AT18" s="526"/>
      <c r="AU18" s="526"/>
      <c r="AV18" s="526"/>
      <c r="AW18" s="526"/>
      <c r="AX18" s="526"/>
      <c r="BF18" s="555"/>
      <c r="BG18" s="29" t="s">
        <v>240</v>
      </c>
      <c r="BH18" s="35"/>
      <c r="BI18" s="238">
        <f>IF($V$13="NONE",BI19,SUM(BI19:BI20))</f>
        <v>0</v>
      </c>
      <c r="BJ18" s="243"/>
      <c r="BK18" s="244"/>
      <c r="BL18" s="238">
        <f>IF($V$13="NONE",BL19,SUM(BL19:BL20))</f>
        <v>0</v>
      </c>
      <c r="BM18" s="237"/>
      <c r="BN18" s="237"/>
      <c r="BO18" s="238">
        <f>IF(BY10=1,0,IF($V$13="NONE",BO19,SUM(BO19:BO20)))</f>
        <v>0</v>
      </c>
      <c r="BP18" s="245"/>
      <c r="BT18" s="30" t="s">
        <v>838</v>
      </c>
    </row>
    <row r="19" spans="2:72" ht="12" customHeight="1">
      <c r="B19" s="33"/>
      <c r="C19" s="555"/>
      <c r="D19" s="29"/>
      <c r="E19" s="35" t="str">
        <f>AF22</f>
        <v xml:space="preserve">L3 ( 0 X 1 ) = </v>
      </c>
      <c r="F19" s="238"/>
      <c r="G19" s="243"/>
      <c r="H19" s="244"/>
      <c r="I19" s="608"/>
      <c r="J19" s="609"/>
      <c r="K19" s="237"/>
      <c r="L19" s="608">
        <f>IF(AND(V7=1,V16="3D"),ROUND(AA22*Z18,0),IF(V7=1," ",ROUND(AA22*Z18,0)))</f>
        <v>0</v>
      </c>
      <c r="M19" s="584" t="str">
        <f>IF(AND(V7=1,V16="3D"),"VA",IF(V7=1," ","VA"))</f>
        <v>VA</v>
      </c>
      <c r="N19" s="238"/>
      <c r="O19" s="238"/>
      <c r="P19" s="245"/>
      <c r="Q19" s="34"/>
      <c r="AL19" s="311" t="s">
        <v>395</v>
      </c>
      <c r="AM19" s="312">
        <f>SUM(AM13:AM17)</f>
        <v>7100</v>
      </c>
      <c r="AN19" s="312">
        <f>SUM(AN13:AN17)</f>
        <v>7100</v>
      </c>
      <c r="AO19" s="313">
        <f>SUM(AO13:AO17)</f>
        <v>1100</v>
      </c>
      <c r="AS19" s="526"/>
      <c r="AT19" s="526"/>
      <c r="AU19" s="526"/>
      <c r="AV19" s="526"/>
      <c r="AW19" s="526"/>
      <c r="AX19" s="526"/>
      <c r="BF19" s="555"/>
      <c r="BG19" s="518" t="s">
        <v>779</v>
      </c>
      <c r="BH19" s="35"/>
      <c r="BI19" s="504">
        <f>Input!AM75</f>
        <v>0</v>
      </c>
      <c r="BJ19" s="505"/>
      <c r="BK19" s="506"/>
      <c r="BL19" s="504">
        <f>IF(AND(V7=1,V16="3D")," ",Input!AO75)</f>
        <v>0</v>
      </c>
      <c r="BM19" s="507"/>
      <c r="BN19" s="507"/>
      <c r="BO19" s="504">
        <f>IF(AND(V7=1,V16="3D"),Input!AO75,IF(V7=1," ",Input!AQ75))</f>
        <v>0</v>
      </c>
      <c r="BP19" s="508"/>
      <c r="BT19" s="30" t="s">
        <v>572</v>
      </c>
    </row>
    <row r="20" spans="2:72" ht="12" customHeight="1">
      <c r="B20" s="33"/>
      <c r="C20" s="555" t="str">
        <f>IF(V7=1," ","TOTAL BALANCED LOAD (3-PHASE)")</f>
        <v>TOTAL BALANCED LOAD (3-PHASE)</v>
      </c>
      <c r="D20" s="29"/>
      <c r="E20" s="35"/>
      <c r="F20" s="247">
        <f>IF(V7=1,0,MIN(V21:V23))</f>
        <v>1100</v>
      </c>
      <c r="G20" s="248" t="s">
        <v>90</v>
      </c>
      <c r="H20" s="244"/>
      <c r="I20" s="238">
        <f>IF(V7=1,0,MIN(V21:V23))</f>
        <v>1100</v>
      </c>
      <c r="J20" s="243" t="str">
        <f>IF(AND(V7=1,V16="3D")," ","VA")</f>
        <v>VA</v>
      </c>
      <c r="K20" s="237"/>
      <c r="L20" s="238">
        <f>IF(AND(V7=1,V16=1),0,MIN(V21:V23))</f>
        <v>1100</v>
      </c>
      <c r="M20" s="243" t="s">
        <v>90</v>
      </c>
      <c r="N20" s="238"/>
      <c r="O20" s="238"/>
      <c r="P20" s="245"/>
      <c r="Q20" s="34"/>
      <c r="Y20" s="236"/>
      <c r="Z20" s="30" t="s">
        <v>410</v>
      </c>
      <c r="AA20" s="237">
        <f>BI33</f>
        <v>0</v>
      </c>
      <c r="AB20" s="30" t="str">
        <f>TEXT(AA20, "#,##0")</f>
        <v>0</v>
      </c>
      <c r="AC20" s="30" t="s">
        <v>257</v>
      </c>
      <c r="AD20" s="30">
        <f>IF(BI38=0,1,Z18)</f>
        <v>1</v>
      </c>
      <c r="AE20" s="30" t="s">
        <v>263</v>
      </c>
      <c r="AF20" s="30" t="str">
        <f>CONCATENATE(Z20,AB20,AC20,AD20,AE20)</f>
        <v xml:space="preserve">L1 ( 0 X 1 ) = </v>
      </c>
      <c r="AS20" s="526"/>
      <c r="AT20" s="526"/>
      <c r="AU20" s="526"/>
      <c r="AV20" s="526"/>
      <c r="AW20" s="526"/>
      <c r="AX20" s="526"/>
      <c r="BF20" s="555"/>
      <c r="BG20" s="517" t="s">
        <v>770</v>
      </c>
      <c r="BH20" s="35"/>
      <c r="BI20" s="503">
        <f>'S-Calcs'!F12</f>
        <v>0</v>
      </c>
      <c r="BJ20" s="545"/>
      <c r="BK20" s="520"/>
      <c r="BL20" s="503">
        <f>'S-Calcs'!I12</f>
        <v>0</v>
      </c>
      <c r="BM20" s="545"/>
      <c r="BN20" s="521"/>
      <c r="BO20" s="503" t="str">
        <f>'S-Calcs'!L12</f>
        <v xml:space="preserve"> </v>
      </c>
      <c r="BP20" s="511"/>
    </row>
    <row r="21" spans="2:72" ht="12" customHeight="1">
      <c r="B21" s="33"/>
      <c r="C21" s="555" t="s">
        <v>592</v>
      </c>
      <c r="D21" s="29"/>
      <c r="E21" s="35"/>
      <c r="F21" s="238">
        <f>IF(W25=1,0,IF(W21=" ",0,W24))</f>
        <v>6000</v>
      </c>
      <c r="G21" s="243" t="s">
        <v>90</v>
      </c>
      <c r="H21" s="244"/>
      <c r="I21" s="238">
        <f>IF(W25=1,0,IF(W22=" ",0,W24))</f>
        <v>6000</v>
      </c>
      <c r="J21" s="243" t="str">
        <f>IF(AND(V7=1,V16="3D")," ","VA")</f>
        <v>VA</v>
      </c>
      <c r="K21" s="237"/>
      <c r="L21" s="238">
        <f>IF(W25=1,0,IF(W23=" ",0,W24))</f>
        <v>0</v>
      </c>
      <c r="M21" s="243" t="str">
        <f>IF(AND(V7=1,V16=1)," ","VA")</f>
        <v>VA</v>
      </c>
      <c r="N21" s="238"/>
      <c r="O21" s="238"/>
      <c r="P21" s="245"/>
      <c r="Q21" s="34"/>
      <c r="U21" s="30" t="s">
        <v>55</v>
      </c>
      <c r="V21" s="237">
        <f>ROUND(SUM(F8:F19),0)</f>
        <v>7100</v>
      </c>
      <c r="W21" s="237">
        <f>IF(V21-$F$20=0," ",V21-$F$20)</f>
        <v>6000</v>
      </c>
      <c r="X21" s="237" t="str">
        <f>IF(W21=" "," ",IF(W21-W$24=0," ",W21-W$24))</f>
        <v xml:space="preserve"> </v>
      </c>
      <c r="Y21" s="238" t="str">
        <f>IF(W$25=1,W21,X21)</f>
        <v xml:space="preserve"> </v>
      </c>
      <c r="Z21" s="30" t="s">
        <v>411</v>
      </c>
      <c r="AA21" s="237">
        <f>BL33</f>
        <v>0</v>
      </c>
      <c r="AB21" s="30" t="str">
        <f>TEXT(AA21, "#,##0")</f>
        <v>0</v>
      </c>
      <c r="AC21" s="30" t="s">
        <v>257</v>
      </c>
      <c r="AD21" s="30">
        <f>IF(BI38=0,1,Z18)</f>
        <v>1</v>
      </c>
      <c r="AE21" s="30" t="s">
        <v>263</v>
      </c>
      <c r="AF21" s="30" t="str">
        <f>CONCATENATE(Z21,AB21,AC21,AD21,AE21)</f>
        <v xml:space="preserve">L2 ( 0 X 1 ) = </v>
      </c>
      <c r="AS21" s="526"/>
      <c r="AT21" s="526"/>
      <c r="AU21" s="526"/>
      <c r="AV21" s="526"/>
      <c r="AW21" s="526"/>
      <c r="AX21" s="526"/>
    </row>
    <row r="22" spans="2:72" ht="12" customHeight="1">
      <c r="B22" s="33"/>
      <c r="C22" s="555" t="s">
        <v>593</v>
      </c>
      <c r="D22" s="29"/>
      <c r="E22" s="35"/>
      <c r="F22" s="238">
        <f>IF(Y21=" ",0,Y21)</f>
        <v>0</v>
      </c>
      <c r="G22" s="243" t="s">
        <v>90</v>
      </c>
      <c r="H22" s="244"/>
      <c r="I22" s="238">
        <f>IF(Y22=" ",0,Y22)</f>
        <v>0</v>
      </c>
      <c r="J22" s="243" t="str">
        <f>IF(AND(V7=1,V16="3D")," ","VA")</f>
        <v>VA</v>
      </c>
      <c r="K22" s="237"/>
      <c r="L22" s="238">
        <f>IF(Y23=" ",0,Y23)</f>
        <v>0</v>
      </c>
      <c r="M22" s="243" t="str">
        <f>IF(AND(V7=1,V16=1)," ","VA")</f>
        <v>VA</v>
      </c>
      <c r="N22" s="238"/>
      <c r="O22" s="247" t="str">
        <f>IF(V11="AUTO",O5," ")</f>
        <v xml:space="preserve"> </v>
      </c>
      <c r="P22" s="284" t="str">
        <f>IF(V11="AUTO","VA"," ")</f>
        <v xml:space="preserve"> </v>
      </c>
      <c r="Q22" s="34"/>
      <c r="U22" s="30" t="s">
        <v>56</v>
      </c>
      <c r="V22" s="237">
        <f>ROUND(SUM(I8:I19),0)</f>
        <v>7100</v>
      </c>
      <c r="W22" s="237">
        <f>IF(V22-$F$20=0," ",V22-$F$20)</f>
        <v>6000</v>
      </c>
      <c r="X22" s="237" t="str">
        <f>IF(W22=" "," ",IF(W22-W$24=0," ",W22-W$24))</f>
        <v xml:space="preserve"> </v>
      </c>
      <c r="Y22" s="238" t="str">
        <f>IF(W$25=1,W22,X22)</f>
        <v xml:space="preserve"> </v>
      </c>
      <c r="Z22" s="30" t="s">
        <v>412</v>
      </c>
      <c r="AA22" s="237">
        <f>BO33</f>
        <v>0</v>
      </c>
      <c r="AB22" s="30" t="str">
        <f>TEXT(AA22, "#,##0")</f>
        <v>0</v>
      </c>
      <c r="AC22" s="30" t="s">
        <v>257</v>
      </c>
      <c r="AD22" s="30">
        <f>IF(BI38=0,1,Z18)</f>
        <v>1</v>
      </c>
      <c r="AE22" s="30" t="s">
        <v>263</v>
      </c>
      <c r="AF22" s="30" t="str">
        <f>CONCATENATE(Z22,AB22,AC22,AD22,AE22)</f>
        <v xml:space="preserve">L3 ( 0 X 1 ) = </v>
      </c>
      <c r="AS22" s="526"/>
      <c r="AT22" s="526"/>
      <c r="AU22" s="526"/>
      <c r="AV22" s="526"/>
      <c r="AW22" s="526"/>
      <c r="AX22" s="526"/>
    </row>
    <row r="23" spans="2:72" ht="12" customHeight="1">
      <c r="B23" s="33"/>
      <c r="C23" s="555"/>
      <c r="D23" s="29"/>
      <c r="E23" s="35"/>
      <c r="F23" s="238"/>
      <c r="G23" s="243"/>
      <c r="H23" s="244"/>
      <c r="I23" s="238"/>
      <c r="J23" s="243"/>
      <c r="K23" s="237"/>
      <c r="L23" s="238"/>
      <c r="M23" s="243"/>
      <c r="N23" s="238"/>
      <c r="O23" s="238"/>
      <c r="P23" s="245"/>
      <c r="Q23" s="34"/>
      <c r="U23" s="30" t="s">
        <v>57</v>
      </c>
      <c r="V23" s="237">
        <f>ROUND(SUM(L8:L19),0)</f>
        <v>1100</v>
      </c>
      <c r="W23" s="237" t="str">
        <f>IF(V23-$F$20=0," ",V23-$F$20)</f>
        <v xml:space="preserve"> </v>
      </c>
      <c r="X23" s="237" t="str">
        <f>IF(W23=" "," ",IF(W23-W$24=0," ",W23-W$24))</f>
        <v xml:space="preserve"> </v>
      </c>
      <c r="Y23" s="238" t="str">
        <f>IF(W$25=1,W23,X23)</f>
        <v xml:space="preserve"> </v>
      </c>
      <c r="AS23" s="526"/>
      <c r="AT23" s="526"/>
      <c r="AU23" s="526"/>
      <c r="AV23" s="526"/>
      <c r="AW23" s="526"/>
      <c r="AX23" s="526"/>
      <c r="BG23" s="29" t="s">
        <v>241</v>
      </c>
      <c r="BH23" s="35"/>
      <c r="BI23" s="238">
        <f>IF($V$13="NONE",BI24,SUM(BI24:BI25))</f>
        <v>0</v>
      </c>
      <c r="BJ23" s="243"/>
      <c r="BK23" s="244"/>
      <c r="BL23" s="238">
        <f>IF($V$13="NONE",BL24,SUM(BL24:BL25))</f>
        <v>0</v>
      </c>
      <c r="BM23" s="243"/>
      <c r="BN23" s="237"/>
      <c r="BO23" s="238">
        <f>IF(BY12=1," ",IF($V$13="NONE",BO24,SUM(BO24:BO25)))</f>
        <v>0</v>
      </c>
      <c r="BP23" s="245"/>
    </row>
    <row r="24" spans="2:72" ht="12" customHeight="1">
      <c r="B24" s="33"/>
      <c r="C24" s="555" t="str">
        <f>IF(V7=1," ","LINE AMPS BALANCED (3-PHASE)")</f>
        <v>LINE AMPS BALANCED (3-PHASE)</v>
      </c>
      <c r="D24" s="29"/>
      <c r="E24" s="29"/>
      <c r="F24" s="268">
        <f>ROUND(F20*3/$V$8/1.732,1)</f>
        <v>7.9</v>
      </c>
      <c r="G24" s="243" t="s">
        <v>363</v>
      </c>
      <c r="H24" s="244"/>
      <c r="I24" s="268">
        <f>ROUND(I20*3/$V$8/1.732,1)</f>
        <v>7.9</v>
      </c>
      <c r="J24" s="243" t="s">
        <v>363</v>
      </c>
      <c r="K24" s="237"/>
      <c r="L24" s="268">
        <f>ROUND(L20*3/$V$8/1.732,1)</f>
        <v>7.9</v>
      </c>
      <c r="M24" s="243" t="str">
        <f>IF(AND(V7=1,V16=1)," ","A")</f>
        <v>A</v>
      </c>
      <c r="N24" s="238"/>
      <c r="O24" s="238"/>
      <c r="P24" s="245"/>
      <c r="Q24" s="34"/>
      <c r="U24" s="237">
        <f>SUM(F20:L22)</f>
        <v>15300</v>
      </c>
      <c r="V24" s="237">
        <f>SUM(V21:V23)</f>
        <v>15300</v>
      </c>
      <c r="W24" s="237">
        <f>MIN(W21:W23)</f>
        <v>6000</v>
      </c>
      <c r="Y24" s="237"/>
      <c r="AS24" s="526"/>
      <c r="AT24" s="526"/>
      <c r="AU24" s="526"/>
      <c r="AV24" s="526"/>
      <c r="AW24" s="526"/>
      <c r="AX24" s="526"/>
      <c r="BG24" s="518" t="s">
        <v>779</v>
      </c>
      <c r="BH24" s="35"/>
      <c r="BI24" s="504">
        <f>Input!AU75</f>
        <v>0</v>
      </c>
      <c r="BJ24" s="505"/>
      <c r="BK24" s="506"/>
      <c r="BL24" s="504">
        <f>IF(AND(V7=1,V16="3D")," ",Input!AW75)</f>
        <v>0</v>
      </c>
      <c r="BM24" s="505"/>
      <c r="BN24" s="507"/>
      <c r="BO24" s="504">
        <f>IF(AND(V7=1,V16="3D"),Input!AW75,IF(V7=1," ",Input!AY75))</f>
        <v>0</v>
      </c>
      <c r="BP24" s="508"/>
    </row>
    <row r="25" spans="2:72" ht="12" customHeight="1">
      <c r="B25" s="33"/>
      <c r="C25" s="555" t="s">
        <v>594</v>
      </c>
      <c r="D25" s="29"/>
      <c r="E25" s="29"/>
      <c r="F25" s="268">
        <f>IF(F21=0,0,SUM(F21:M21)/V8)</f>
        <v>50</v>
      </c>
      <c r="G25" s="243" t="s">
        <v>363</v>
      </c>
      <c r="H25" s="244"/>
      <c r="I25" s="268">
        <f>IF(I21=0,0,SUM(F21:M21)/V8)</f>
        <v>50</v>
      </c>
      <c r="J25" s="243" t="s">
        <v>363</v>
      </c>
      <c r="K25" s="237"/>
      <c r="L25" s="268">
        <f>IF(L21=0,0,SUM(F21:M21)/V8)</f>
        <v>0</v>
      </c>
      <c r="M25" s="243" t="str">
        <f>IF(AND(V7=1,V16=1)," ","A")</f>
        <v>A</v>
      </c>
      <c r="N25" s="238"/>
      <c r="O25" s="238"/>
      <c r="P25" s="245"/>
      <c r="Q25" s="34"/>
      <c r="U25" s="30" t="s">
        <v>402</v>
      </c>
      <c r="W25" s="30">
        <f>COUNT(W21:W23)</f>
        <v>2</v>
      </c>
      <c r="X25" s="30">
        <f>IF(W25=1,W24,SUM(X21:X23))</f>
        <v>0</v>
      </c>
      <c r="AS25" s="526"/>
      <c r="AT25" s="526"/>
      <c r="AU25" s="526"/>
      <c r="AV25" s="526"/>
      <c r="AW25" s="526"/>
      <c r="AX25" s="526"/>
      <c r="BG25" s="517" t="s">
        <v>770</v>
      </c>
      <c r="BH25" s="546"/>
      <c r="BI25" s="503">
        <f>'S-Calcs'!F14</f>
        <v>0</v>
      </c>
      <c r="BJ25" s="545"/>
      <c r="BK25" s="520"/>
      <c r="BL25" s="503">
        <f>'S-Calcs'!I14</f>
        <v>0</v>
      </c>
      <c r="BM25" s="545"/>
      <c r="BN25" s="521"/>
      <c r="BO25" s="503" t="str">
        <f>'S-Calcs'!L14</f>
        <v xml:space="preserve"> </v>
      </c>
      <c r="BP25" s="511"/>
    </row>
    <row r="26" spans="2:72" ht="12" customHeight="1">
      <c r="B26" s="33"/>
      <c r="C26" s="555" t="s">
        <v>595</v>
      </c>
      <c r="D26" s="29"/>
      <c r="E26" s="35"/>
      <c r="F26" s="268">
        <f>IF(F22=0,0,F22/$V$9)</f>
        <v>0</v>
      </c>
      <c r="G26" s="243" t="s">
        <v>363</v>
      </c>
      <c r="H26" s="244"/>
      <c r="I26" s="268">
        <f>IF(I22=0,0,I22/$V$9)</f>
        <v>0</v>
      </c>
      <c r="J26" s="243" t="s">
        <v>363</v>
      </c>
      <c r="K26" s="237"/>
      <c r="L26" s="268">
        <f>IF(L22=0,0,L22/$V$9)</f>
        <v>0</v>
      </c>
      <c r="M26" s="243" t="str">
        <f>IF(AND(V7=1,V16=1)," ","A")</f>
        <v>A</v>
      </c>
      <c r="N26" s="238"/>
      <c r="O26" s="238"/>
      <c r="P26" s="245"/>
      <c r="Q26" s="34"/>
      <c r="U26" s="237" t="s">
        <v>524</v>
      </c>
      <c r="Z26" s="237"/>
      <c r="BF26" s="454"/>
      <c r="BG26" s="454"/>
      <c r="BH26" s="454"/>
      <c r="BI26" s="454"/>
      <c r="BJ26" s="454"/>
      <c r="BK26" s="454"/>
      <c r="BL26" s="454"/>
      <c r="BM26" s="454"/>
      <c r="BN26" s="454"/>
      <c r="BO26" s="454"/>
      <c r="BP26" s="454"/>
    </row>
    <row r="27" spans="2:72" ht="12" customHeight="1">
      <c r="B27" s="33"/>
      <c r="C27" s="555"/>
      <c r="D27" s="35" t="s">
        <v>395</v>
      </c>
      <c r="E27" s="35"/>
      <c r="F27" s="263">
        <f>SUM(F24:F26)</f>
        <v>57.9</v>
      </c>
      <c r="G27" s="264" t="s">
        <v>363</v>
      </c>
      <c r="H27" s="214"/>
      <c r="I27" s="263">
        <f>SUM(I24:I26)</f>
        <v>57.9</v>
      </c>
      <c r="J27" s="264" t="s">
        <v>363</v>
      </c>
      <c r="K27" s="246"/>
      <c r="L27" s="263">
        <f>SUM(L24:L26)</f>
        <v>7.9</v>
      </c>
      <c r="M27" s="264" t="str">
        <f>IF(AND(V7=1,V16=1)," ","A")</f>
        <v>A</v>
      </c>
      <c r="N27" s="249"/>
      <c r="O27" s="263" t="str">
        <f>IF(V11="AUTO",ROUND(O22/V9,1)," ")</f>
        <v xml:space="preserve"> </v>
      </c>
      <c r="P27" s="264" t="str">
        <f>IF(V11="AUTO","A"," ")</f>
        <v xml:space="preserve"> </v>
      </c>
      <c r="Q27" s="34"/>
      <c r="U27" s="237">
        <f>IF(V7=1,0,IF(V7="3Y",0,IF(AND(V22&gt;V21,V22&gt;V23),1,IF(AND(I29&gt;L29,I29&gt;F29),1,0))))</f>
        <v>0</v>
      </c>
      <c r="AF27" s="30">
        <f>MIN(AG27:AK27)</f>
        <v>2000</v>
      </c>
      <c r="AG27" s="30">
        <v>3750</v>
      </c>
      <c r="AI27" s="30">
        <v>2500</v>
      </c>
      <c r="AK27" s="30">
        <v>2000</v>
      </c>
      <c r="AS27" s="30" t="s">
        <v>395</v>
      </c>
      <c r="AV27" s="30">
        <f>IF(Input!$O$15="NONE",ROUND(SUM(AV7:AV9),0),ROUND(SUM(AV7:AV14),0))</f>
        <v>0</v>
      </c>
      <c r="AW27" s="30">
        <f>IF(Input!$O$15="NONE",ROUND(SUM(AW7:AW9),0),ROUND(SUM(AW7:AW14),0))</f>
        <v>0</v>
      </c>
      <c r="AX27" s="30">
        <f>IF(Input!$O$15="NONE",ROUND(SUM(AX7:AX9),0),ROUND(SUM(AX7:AX14),0))</f>
        <v>0</v>
      </c>
      <c r="AZ27" s="30">
        <f>SUM(AV27:AX27)</f>
        <v>0</v>
      </c>
      <c r="BI27" s="237">
        <f>MAX(BI28:BO28)*3</f>
        <v>0</v>
      </c>
      <c r="BJ27" s="237">
        <f>V8</f>
        <v>240</v>
      </c>
      <c r="BK27" s="599">
        <f>IF(V7=1,1,1.732)</f>
        <v>1.732</v>
      </c>
      <c r="BL27" s="30">
        <f>ROUND(BI27/BJ27/BK27,0)</f>
        <v>0</v>
      </c>
      <c r="BM27" s="30">
        <f>BL27*4</f>
        <v>0</v>
      </c>
      <c r="BO27" s="238"/>
    </row>
    <row r="28" spans="2:72" ht="12" customHeight="1">
      <c r="B28" s="33"/>
      <c r="C28" s="555"/>
      <c r="D28" s="35" t="s">
        <v>568</v>
      </c>
      <c r="E28" s="35"/>
      <c r="F28" s="249">
        <f>ROUND(F27*Input!$H$21/100,1)</f>
        <v>0</v>
      </c>
      <c r="G28" s="246" t="s">
        <v>363</v>
      </c>
      <c r="H28" s="214"/>
      <c r="I28" s="249">
        <f>IF(V12="FULL",ROUND(I27*Input!$H$21/100,1),IF(V7="3D",ROUND(I27*Input!$H$22/100,1),ROUND(I27*Input!$H$21/100,1)))</f>
        <v>0</v>
      </c>
      <c r="J28" s="246" t="s">
        <v>363</v>
      </c>
      <c r="K28" s="246"/>
      <c r="L28" s="249">
        <f>ROUND((L27*Input!$H$21/100),1)</f>
        <v>0</v>
      </c>
      <c r="M28" s="246" t="str">
        <f>IF(AND(V7=1,V16=1)," ","A")</f>
        <v>A</v>
      </c>
      <c r="N28" s="249"/>
      <c r="O28" s="249" t="str">
        <f>IF(V11="AUTO",O27*ROUND(Input!$H$21/100,1)," ")</f>
        <v xml:space="preserve"> </v>
      </c>
      <c r="P28" s="246" t="str">
        <f>IF(V11="AUTO","A"," ")</f>
        <v xml:space="preserve"> </v>
      </c>
      <c r="Q28" s="34"/>
      <c r="S28" s="269"/>
      <c r="U28" s="237"/>
      <c r="AS28" s="30" t="s">
        <v>790</v>
      </c>
      <c r="AV28" s="30" t="e">
        <f>AV27/AZ27</f>
        <v>#DIV/0!</v>
      </c>
      <c r="AW28" s="30" t="e">
        <f>AW27/AZ27</f>
        <v>#DIV/0!</v>
      </c>
      <c r="AX28" s="30" t="e">
        <f>AX27/AZ27</f>
        <v>#DIV/0!</v>
      </c>
      <c r="BG28" s="29" t="s">
        <v>832</v>
      </c>
      <c r="BH28" s="35"/>
      <c r="BI28" s="238">
        <f>IF($V$13="NONE",BI29,MAX(BI29:BI30))</f>
        <v>0</v>
      </c>
      <c r="BJ28" s="243"/>
      <c r="BK28" s="244"/>
      <c r="BL28" s="238">
        <f>IF($V$13="NONE",BL29,MAX(BL29:BL30))</f>
        <v>0</v>
      </c>
      <c r="BO28" s="238">
        <f>IF(BY17=1," ",IF($V$13="NONE",BO29,MAX(BO29:BO30)))</f>
        <v>0</v>
      </c>
    </row>
    <row r="29" spans="2:72" ht="12" customHeight="1">
      <c r="B29" s="33"/>
      <c r="C29" s="555" t="s">
        <v>250</v>
      </c>
      <c r="D29" s="29"/>
      <c r="E29" s="35"/>
      <c r="F29" s="297">
        <f>ROUND(SUM(F27:F28),1)</f>
        <v>57.9</v>
      </c>
      <c r="G29" s="298" t="s">
        <v>363</v>
      </c>
      <c r="H29" s="270"/>
      <c r="I29" s="297">
        <f>ROUND(SUM(I27:I28),1)</f>
        <v>57.9</v>
      </c>
      <c r="J29" s="298" t="s">
        <v>363</v>
      </c>
      <c r="K29" s="269"/>
      <c r="L29" s="297">
        <f>ROUND(SUM(L27:L28),1)</f>
        <v>7.9</v>
      </c>
      <c r="M29" s="298" t="str">
        <f>IF(AND(V7=1,V16=1)," ","A")</f>
        <v>A</v>
      </c>
      <c r="N29" s="238"/>
      <c r="O29" s="297" t="str">
        <f>IF(V11="AUTO",SUM(O27:O28)," ")</f>
        <v xml:space="preserve"> </v>
      </c>
      <c r="P29" s="283" t="str">
        <f>IF(V11="AUTO","A"," ")</f>
        <v xml:space="preserve"> </v>
      </c>
      <c r="Q29" s="34"/>
      <c r="S29" s="269"/>
      <c r="AG29" s="30">
        <f>$AF27</f>
        <v>2000</v>
      </c>
      <c r="AI29" s="30">
        <f>$AF27</f>
        <v>2000</v>
      </c>
      <c r="AK29" s="30">
        <f>$AF27</f>
        <v>2000</v>
      </c>
      <c r="AV29" s="30">
        <v>10000</v>
      </c>
      <c r="AW29" s="30">
        <v>10000</v>
      </c>
      <c r="AX29" s="30">
        <v>10000</v>
      </c>
      <c r="BG29" s="518" t="s">
        <v>779</v>
      </c>
      <c r="BH29" s="35"/>
      <c r="BI29" s="504">
        <f>Input!AU76</f>
        <v>0</v>
      </c>
      <c r="BJ29" s="505"/>
      <c r="BK29" s="506"/>
      <c r="BL29" s="504">
        <f>IF(AND(V7=1,V16="3D")," ",Input!AW76)</f>
        <v>0</v>
      </c>
      <c r="BO29" s="504">
        <f>IF(AND(V7=1,V16="3D"),Input!AW76,IF(V7=1," ",Input!AY76))</f>
        <v>0</v>
      </c>
    </row>
    <row r="30" spans="2:72" ht="12" customHeight="1">
      <c r="B30" s="33"/>
      <c r="C30" s="555"/>
      <c r="D30" s="29"/>
      <c r="E30" s="267"/>
      <c r="F30" s="268"/>
      <c r="G30" s="269"/>
      <c r="H30" s="270"/>
      <c r="I30" s="268"/>
      <c r="J30" s="269"/>
      <c r="K30" s="269"/>
      <c r="L30" s="268"/>
      <c r="M30" s="245"/>
      <c r="N30" s="238"/>
      <c r="O30" s="238"/>
      <c r="P30" s="245"/>
      <c r="Q30" s="552"/>
      <c r="U30" s="30" t="s">
        <v>486</v>
      </c>
      <c r="V30" s="246">
        <f>IF(V7=1,V34,IF(V7="3D",V37,IF(V7="3Y",V40,0)))</f>
        <v>0</v>
      </c>
      <c r="W30" s="246"/>
      <c r="X30" s="246"/>
      <c r="BG30" s="517" t="s">
        <v>770</v>
      </c>
      <c r="BH30" s="546"/>
      <c r="BI30" s="503">
        <f>'S-Calcs'!AS3</f>
        <v>0</v>
      </c>
      <c r="BJ30" s="545"/>
      <c r="BK30" s="520"/>
      <c r="BL30" s="503">
        <f>'S-Calcs'!AT3</f>
        <v>0</v>
      </c>
      <c r="BO30" s="503">
        <f>'S-Calcs'!AU3</f>
        <v>0</v>
      </c>
    </row>
    <row r="31" spans="2:72" ht="12" customHeight="1">
      <c r="B31" s="33"/>
      <c r="C31" s="597" t="str">
        <f>IF(V14="NO"," ","VOLTAGE DROP CALCULATIONS")</f>
        <v>VOLTAGE DROP CALCULATIONS</v>
      </c>
      <c r="D31" s="29"/>
      <c r="E31" s="267"/>
      <c r="F31" s="268"/>
      <c r="G31" s="269"/>
      <c r="H31" s="270"/>
      <c r="I31" s="268"/>
      <c r="J31" s="269"/>
      <c r="K31" s="269"/>
      <c r="L31" s="268"/>
      <c r="M31" s="245"/>
      <c r="N31" s="238"/>
      <c r="O31" s="238"/>
      <c r="P31" s="245"/>
      <c r="Q31" s="552"/>
      <c r="U31" s="30" t="s">
        <v>473</v>
      </c>
      <c r="V31" s="30">
        <f>IF(V7=1,V33,IF(V7="3D",V36,IF(V7="3Y",V39,0)))</f>
        <v>0</v>
      </c>
      <c r="AG31" s="30">
        <f>AG27-AG29</f>
        <v>1750</v>
      </c>
      <c r="AI31" s="30">
        <f>AI27-AI29</f>
        <v>500</v>
      </c>
      <c r="AK31" s="30">
        <f>AK27-AK29</f>
        <v>0</v>
      </c>
      <c r="AS31" s="30" t="s">
        <v>149</v>
      </c>
      <c r="BF31" s="454"/>
      <c r="BG31" s="454"/>
      <c r="BH31" s="454"/>
      <c r="BI31" s="454"/>
      <c r="BJ31" s="454"/>
      <c r="BK31" s="454"/>
      <c r="BL31" s="454"/>
      <c r="BM31" s="454"/>
      <c r="BN31" s="454"/>
      <c r="BO31" s="454"/>
      <c r="BP31" s="454"/>
    </row>
    <row r="32" spans="2:72" ht="12" customHeight="1">
      <c r="B32" s="33"/>
      <c r="C32" s="555"/>
      <c r="D32" s="29"/>
      <c r="E32" s="267" t="str">
        <f>IF(V14="NO"," ",IF(V7=1,Input!EJ116,IF(V7="3Y",Input!EJ117,Input!EJ118)))</f>
        <v>Three Phase</v>
      </c>
      <c r="F32" s="267" t="str">
        <f>IF(V14="NO"," ",IF(V7=1,Input!EK116,IF(V7="3Y",Input!EK117,Input!EK118)))</f>
        <v>( 2 X 10' L X 0.5080 R X 57.9 A ÷ 1,000 X 0.866 )  = 0.5 VD</v>
      </c>
      <c r="G32" s="267"/>
      <c r="H32" s="267"/>
      <c r="I32" s="267"/>
      <c r="J32" s="267"/>
      <c r="K32" s="267"/>
      <c r="L32" s="267"/>
      <c r="M32" s="267"/>
      <c r="N32" s="238"/>
      <c r="O32" s="238"/>
      <c r="P32" s="245"/>
      <c r="Q32" s="552"/>
      <c r="AS32" s="40" t="s">
        <v>791</v>
      </c>
      <c r="AT32" s="541"/>
      <c r="AU32" s="541"/>
      <c r="AV32" s="541">
        <f>IF($AZ$27&gt;10000,ROUND(AV29*AV28,0),AV27)</f>
        <v>0</v>
      </c>
      <c r="AW32" s="541">
        <f>IF($AZ$27&gt;10000,ROUND(AW29*AW28,0),AW27)</f>
        <v>0</v>
      </c>
      <c r="AX32" s="542">
        <f>IF($AZ$27&gt;10000,ROUND(AX29*AX28,0),AX27)</f>
        <v>0</v>
      </c>
      <c r="AZ32" s="30">
        <f>SUM(AV32:AX32)</f>
        <v>0</v>
      </c>
    </row>
    <row r="33" spans="2:67" ht="12" customHeight="1">
      <c r="B33" s="33"/>
      <c r="C33" s="555"/>
      <c r="D33" s="29"/>
      <c r="E33" s="267" t="str">
        <f>IF(V14="NO"," ",IF(V7=1,Input!EN116,IF(V7="3Y",Input!EN117,Input!EN118)))</f>
        <v>Voltage Drop %</v>
      </c>
      <c r="F33" s="267" t="str">
        <f>IF(V14="NO"," ",IF(V7=1,Input!EO116,IF(V7="3Y",Input!EO117,Input!EO118)))</f>
        <v>( 0.5 VD ÷ 240 V X 100 ) = 0.2 % VD</v>
      </c>
      <c r="G33" s="267"/>
      <c r="H33" s="267"/>
      <c r="I33" s="267"/>
      <c r="J33" s="267"/>
      <c r="K33" s="267"/>
      <c r="L33" s="267"/>
      <c r="M33" s="267"/>
      <c r="N33" s="238"/>
      <c r="O33" s="238"/>
      <c r="P33" s="245"/>
      <c r="Q33" s="552"/>
      <c r="U33" s="30" t="s">
        <v>401</v>
      </c>
      <c r="V33" s="30">
        <f>MAX(Input!BK75:BM75)</f>
        <v>0</v>
      </c>
      <c r="AS33" s="543" t="s">
        <v>792</v>
      </c>
      <c r="AT33" s="38"/>
      <c r="AU33" s="38"/>
      <c r="AV33" s="38" t="str">
        <f>IF($AZ$27&gt;10000,ROUND((AV27-AV32)*0.5,0)," ")</f>
        <v xml:space="preserve"> </v>
      </c>
      <c r="AW33" s="38" t="str">
        <f>IF($AZ$27&gt;10000,ROUND((AW27-AW32)*0.5,0)," ")</f>
        <v xml:space="preserve"> </v>
      </c>
      <c r="AX33" s="544" t="str">
        <f>IF($AZ$27&gt;10000,ROUND((AX27-AX32)*0.5,0)," ")</f>
        <v xml:space="preserve"> </v>
      </c>
      <c r="AZ33" s="30">
        <f>SUM(AV33:AX33)</f>
        <v>0</v>
      </c>
      <c r="BG33" s="29" t="s">
        <v>836</v>
      </c>
      <c r="BH33" s="35"/>
      <c r="BI33" s="238">
        <f>IF($V$13="NONE",BI34,SUM(BI34:BI35))</f>
        <v>0</v>
      </c>
      <c r="BJ33" s="243"/>
      <c r="BK33" s="244"/>
      <c r="BL33" s="238">
        <f>IF($V$13="NONE",BL34,SUM(BL34:BL35))</f>
        <v>0</v>
      </c>
      <c r="BM33" s="243"/>
      <c r="BN33" s="237"/>
      <c r="BO33" s="268">
        <f>IF(BY22=1," ",IF($V$13="NONE",BO34,SUM(BO34:BO35)))</f>
        <v>0</v>
      </c>
    </row>
    <row r="34" spans="2:67" ht="12" customHeight="1">
      <c r="B34" s="33"/>
      <c r="C34" s="555"/>
      <c r="D34" s="29"/>
      <c r="E34" s="267" t="str">
        <f>IF(V14="NO"," ",IF(V7="3D",Input!EJ119," "))</f>
        <v xml:space="preserve"> </v>
      </c>
      <c r="F34" s="267" t="str">
        <f>IF(V14="NO"," ",IF(V7="3D",Input!EK119," "))</f>
        <v xml:space="preserve"> </v>
      </c>
      <c r="G34" s="267"/>
      <c r="H34" s="267"/>
      <c r="I34" s="267"/>
      <c r="J34" s="267"/>
      <c r="K34" s="267"/>
      <c r="L34" s="267"/>
      <c r="M34" s="267"/>
      <c r="N34" s="238"/>
      <c r="O34" s="238"/>
      <c r="P34" s="245"/>
      <c r="Q34" s="552"/>
      <c r="U34" s="30" t="s">
        <v>48</v>
      </c>
      <c r="V34" s="246">
        <f>V33/V$9</f>
        <v>0</v>
      </c>
      <c r="W34" s="246"/>
      <c r="X34" s="246"/>
      <c r="BG34" s="518" t="s">
        <v>779</v>
      </c>
      <c r="BH34" s="35"/>
      <c r="BI34" s="504">
        <f>Input!BA75</f>
        <v>0</v>
      </c>
      <c r="BJ34" s="505"/>
      <c r="BK34" s="506"/>
      <c r="BL34" s="504">
        <f>IF(AND(V7=1,V16="3D"),0,Input!BC75)</f>
        <v>0</v>
      </c>
      <c r="BO34" s="587">
        <f>IF(AND(V7=1,V16="3D"),Input!BC75,IF(V7=1," ",Input!BE75))</f>
        <v>0</v>
      </c>
    </row>
    <row r="35" spans="2:67" ht="12" customHeight="1">
      <c r="B35" s="33"/>
      <c r="C35" s="555"/>
      <c r="D35" s="29"/>
      <c r="E35" s="267" t="str">
        <f>IF(V14="NO"," ",IF(V7="3D",Input!EN119," "))</f>
        <v xml:space="preserve"> </v>
      </c>
      <c r="F35" s="267" t="str">
        <f>IF(V14="NO"," ",IF(V7="3D",Input!EO119," "))</f>
        <v xml:space="preserve"> </v>
      </c>
      <c r="G35" s="267"/>
      <c r="H35" s="267"/>
      <c r="I35" s="267"/>
      <c r="J35" s="267"/>
      <c r="K35" s="267"/>
      <c r="L35" s="267"/>
      <c r="M35" s="267"/>
      <c r="N35" s="238"/>
      <c r="O35" s="238"/>
      <c r="P35" s="245"/>
      <c r="Q35" s="552"/>
      <c r="BG35" s="517" t="s">
        <v>770</v>
      </c>
      <c r="BH35" s="546"/>
      <c r="BI35" s="503">
        <f>'S-Calcs'!AA19</f>
        <v>0</v>
      </c>
      <c r="BJ35" s="545"/>
      <c r="BK35" s="520"/>
      <c r="BL35" s="503">
        <f>'S-Calcs'!AA20</f>
        <v>0</v>
      </c>
      <c r="BO35" s="588">
        <f>'S-Calcs'!AA21</f>
        <v>0</v>
      </c>
    </row>
    <row r="36" spans="2:67" ht="12" customHeight="1">
      <c r="B36" s="33"/>
      <c r="C36" s="555"/>
      <c r="D36" s="29"/>
      <c r="E36" s="267"/>
      <c r="F36" s="267"/>
      <c r="G36" s="267"/>
      <c r="H36" s="267"/>
      <c r="I36" s="267"/>
      <c r="J36" s="267"/>
      <c r="K36" s="267"/>
      <c r="L36" s="37"/>
      <c r="M36" s="267"/>
      <c r="N36" s="238"/>
      <c r="O36" s="37"/>
      <c r="P36" s="245"/>
      <c r="Q36" s="552"/>
      <c r="U36" s="30" t="s">
        <v>402</v>
      </c>
      <c r="V36" s="30">
        <f>MAX(Input!BG75:BI75)</f>
        <v>0</v>
      </c>
    </row>
    <row r="37" spans="2:67" ht="12" customHeight="1">
      <c r="B37" s="33"/>
      <c r="C37" s="555" t="str">
        <f>IF(V7&lt;&gt;"3Y"," ","HARMONIC CURRENT CALCULATION ( NEC 310.15 B (4) C )")</f>
        <v>HARMONIC CURRENT CALCULATION ( NEC 310.15 B (4) C )</v>
      </c>
      <c r="D37" s="29"/>
      <c r="E37" s="267"/>
      <c r="F37" s="267"/>
      <c r="G37" s="267"/>
      <c r="H37" s="267"/>
      <c r="I37" s="267"/>
      <c r="J37" s="267"/>
      <c r="K37" s="267"/>
      <c r="L37" s="37"/>
      <c r="M37" s="267"/>
      <c r="N37" s="238"/>
      <c r="O37" s="37"/>
      <c r="P37" s="245"/>
      <c r="Q37" s="552"/>
      <c r="U37" s="30" t="s">
        <v>48</v>
      </c>
      <c r="V37" s="246">
        <f>V36/V$9</f>
        <v>0</v>
      </c>
      <c r="W37" s="246"/>
      <c r="X37" s="246"/>
    </row>
    <row r="38" spans="2:67" ht="12" customHeight="1">
      <c r="B38" s="33"/>
      <c r="C38" s="555"/>
      <c r="D38" s="29" t="str">
        <f>IF(V7&lt;&gt;"3Y"," ",AE55)</f>
        <v>( Harmonic Load 0 VA ÷ Connected Load 15,300 VA ) X 100 = 0 %</v>
      </c>
      <c r="E38" s="267"/>
      <c r="F38" s="267"/>
      <c r="G38" s="267"/>
      <c r="H38" s="267"/>
      <c r="I38" s="267"/>
      <c r="J38" s="267"/>
      <c r="K38" s="267"/>
      <c r="L38" s="37"/>
      <c r="M38" s="267"/>
      <c r="N38" s="238"/>
      <c r="O38" s="37"/>
      <c r="P38" s="245"/>
      <c r="Q38" s="552"/>
      <c r="BG38" s="29" t="s">
        <v>837</v>
      </c>
      <c r="BI38" s="238">
        <f>IF($V$13="NONE",BI39,SUM(BI39:BI40))</f>
        <v>0</v>
      </c>
    </row>
    <row r="39" spans="2:67" ht="12" customHeight="1">
      <c r="B39" s="33"/>
      <c r="C39" s="555"/>
      <c r="D39" s="29" t="str">
        <f>IF(V7&lt;&gt;"3Y"," ",IF(V53&lt;0.5,"  Harmonic Load Does Not Exceed 50%","  Harmonic Load Exceeds 50% of Total Load and Conductors Have Been Derated to 80%"))</f>
        <v xml:space="preserve">  Harmonic Load Does Not Exceed 50%</v>
      </c>
      <c r="E39" s="267"/>
      <c r="F39" s="267"/>
      <c r="G39" s="267"/>
      <c r="H39" s="267"/>
      <c r="I39" s="267"/>
      <c r="J39" s="267"/>
      <c r="K39" s="267"/>
      <c r="L39" s="37"/>
      <c r="M39" s="267"/>
      <c r="N39" s="238"/>
      <c r="O39" s="37"/>
      <c r="P39" s="245"/>
      <c r="Q39" s="552"/>
      <c r="U39" s="30" t="s">
        <v>403</v>
      </c>
      <c r="V39" s="30">
        <f>ROUND(MAX(Input!BO75:BS75),0)</f>
        <v>0</v>
      </c>
      <c r="BG39" s="518" t="s">
        <v>779</v>
      </c>
      <c r="BI39" s="237">
        <f>V10</f>
        <v>0</v>
      </c>
    </row>
    <row r="40" spans="2:67" ht="12" customHeight="1">
      <c r="B40" s="33"/>
      <c r="C40" s="555"/>
      <c r="D40" s="29"/>
      <c r="E40" s="267"/>
      <c r="F40" s="267"/>
      <c r="G40" s="267"/>
      <c r="H40" s="267"/>
      <c r="I40" s="267"/>
      <c r="J40" s="267"/>
      <c r="K40" s="267"/>
      <c r="L40" s="37"/>
      <c r="M40" s="267"/>
      <c r="N40" s="238"/>
      <c r="O40" s="37"/>
      <c r="P40" s="245"/>
      <c r="Q40" s="552"/>
      <c r="U40" s="30" t="s">
        <v>48</v>
      </c>
      <c r="V40" s="246">
        <f>V39/V9</f>
        <v>0</v>
      </c>
      <c r="W40" s="246"/>
      <c r="X40" s="246"/>
      <c r="BG40" s="517" t="s">
        <v>770</v>
      </c>
      <c r="BI40" s="237">
        <f>'S-Calcs'!V9</f>
        <v>0</v>
      </c>
    </row>
    <row r="41" spans="2:67" ht="12" customHeight="1">
      <c r="B41" s="33"/>
      <c r="C41" s="555" t="str">
        <f>IF(V15="NO"," ","FAULT CURRENT CALCULATIONS")</f>
        <v>FAULT CURRENT CALCULATIONS</v>
      </c>
      <c r="D41" s="29"/>
      <c r="E41" s="267"/>
      <c r="F41" s="267"/>
      <c r="G41" s="267"/>
      <c r="H41" s="267"/>
      <c r="I41" s="267"/>
      <c r="J41" s="267"/>
      <c r="K41" s="267"/>
      <c r="L41" s="37"/>
      <c r="M41" s="267"/>
      <c r="N41" s="238"/>
      <c r="O41" s="37"/>
      <c r="P41" s="245"/>
      <c r="Q41" s="552"/>
    </row>
    <row r="42" spans="2:67" ht="12" customHeight="1">
      <c r="B42" s="33"/>
      <c r="C42" s="555"/>
      <c r="D42" s="29"/>
      <c r="E42" s="267" t="str">
        <f>IF(V15="NO"," ",Short!S4)</f>
        <v>Available Fault Current at Starting Point  (( 28,875 AFC X 1.00 UA ) + 0 MC ) = 28,875 AFC</v>
      </c>
      <c r="F42" s="267"/>
      <c r="G42" s="267"/>
      <c r="H42" s="267"/>
      <c r="I42" s="267"/>
      <c r="J42" s="267"/>
      <c r="K42" s="267"/>
      <c r="L42" s="267"/>
      <c r="M42" s="267"/>
      <c r="N42" s="238"/>
      <c r="O42" s="238"/>
      <c r="P42" s="245"/>
      <c r="Q42" s="552"/>
      <c r="V42" s="269"/>
    </row>
    <row r="43" spans="2:67" ht="12" customHeight="1">
      <c r="B43" s="33"/>
      <c r="C43" s="555"/>
      <c r="D43" s="29"/>
      <c r="E43" s="267" t="str">
        <f>IF(V15="NO"," ",Short!S22)</f>
        <v>Conductor Factor CF - Formula ( 1.732 X 10 L X 28,875 AFC  ) ÷ ( 2,346 C X 1 N X 240 V ) = 0.888 CF</v>
      </c>
      <c r="F43" s="267"/>
      <c r="G43" s="267"/>
      <c r="H43" s="267"/>
      <c r="I43" s="267"/>
      <c r="J43" s="267"/>
      <c r="K43" s="267"/>
      <c r="L43" s="267"/>
      <c r="M43" s="267"/>
      <c r="N43" s="238"/>
      <c r="O43" s="238"/>
      <c r="P43" s="245"/>
      <c r="Q43" s="552"/>
      <c r="U43" s="30" t="s">
        <v>532</v>
      </c>
      <c r="V43" s="269">
        <f>MAX(F29:M29)</f>
        <v>57.9</v>
      </c>
      <c r="W43" s="269"/>
      <c r="X43" s="269"/>
      <c r="BG43" s="30" t="s">
        <v>481</v>
      </c>
      <c r="BI43" s="30">
        <f>IF($V$13="NONE",BI44,SUM(BI44:BI45))</f>
        <v>0</v>
      </c>
    </row>
    <row r="44" spans="2:67" ht="12" customHeight="1">
      <c r="B44" s="33"/>
      <c r="E44" s="267" t="str">
        <f>IF(V15="NO"," ",Short!S26)</f>
        <v xml:space="preserve">Conductor Multiplier CM - Formula  ( 1 ) ÷ ( 1 + 0.888 CF ) = 0.530 CM </v>
      </c>
      <c r="F44" s="267"/>
      <c r="G44" s="267"/>
      <c r="H44" s="267"/>
      <c r="I44" s="267"/>
      <c r="J44" s="267"/>
      <c r="K44" s="267"/>
      <c r="L44" s="267"/>
      <c r="M44" s="267"/>
      <c r="Q44" s="320"/>
      <c r="U44" s="237"/>
      <c r="Z44" s="1"/>
      <c r="AA44" s="1"/>
      <c r="BG44" s="518" t="s">
        <v>779</v>
      </c>
      <c r="BI44" s="525">
        <f>IF(Input!H8="3Y",Input!AS75,0)</f>
        <v>0</v>
      </c>
    </row>
    <row r="45" spans="2:67" ht="12" customHeight="1">
      <c r="B45" s="553"/>
      <c r="E45" s="267" t="str">
        <f>IF(V15="NO"," ",Short!S30)</f>
        <v>Conductor Let-Through Current CLC - Formula ( 28,875 AFC X 0.530 CM ) = 15,304 CLC</v>
      </c>
      <c r="F45" s="37"/>
      <c r="G45" s="37"/>
      <c r="H45" s="37"/>
      <c r="I45" s="37"/>
      <c r="J45" s="37"/>
      <c r="K45" s="37"/>
      <c r="L45" s="37"/>
      <c r="M45" s="37"/>
      <c r="O45" s="237"/>
      <c r="Q45" s="320"/>
      <c r="U45" s="30" t="s">
        <v>55</v>
      </c>
      <c r="V45" s="237">
        <f>SUM(F20:F26)</f>
        <v>7157.9</v>
      </c>
      <c r="W45" s="237"/>
      <c r="X45" s="237"/>
      <c r="BG45" s="517" t="s">
        <v>770</v>
      </c>
      <c r="BI45" s="526">
        <f>IF(BH52&lt;&gt;"3Y",0,IF(OR(BG48=BG49,BG48=BG50),0,'S-Input'!AS76))</f>
        <v>0</v>
      </c>
    </row>
    <row r="46" spans="2:67" ht="12" customHeight="1">
      <c r="B46" s="553"/>
      <c r="E46" s="267"/>
      <c r="F46" s="37"/>
      <c r="G46" s="37"/>
      <c r="H46" s="37"/>
      <c r="I46" s="37"/>
      <c r="J46" s="37"/>
      <c r="K46" s="37"/>
      <c r="L46" s="37"/>
      <c r="M46" s="37"/>
      <c r="O46" s="237"/>
      <c r="Q46" s="320"/>
      <c r="U46" s="30" t="s">
        <v>56</v>
      </c>
      <c r="V46" s="237">
        <f>I20</f>
        <v>1100</v>
      </c>
      <c r="W46" s="237"/>
      <c r="X46" s="237"/>
      <c r="AA46" s="237"/>
      <c r="AC46" s="262"/>
    </row>
    <row r="47" spans="2:67" ht="12" customHeight="1">
      <c r="B47" s="553"/>
      <c r="C47" s="555"/>
      <c r="D47" s="555" t="str">
        <f>U65</f>
        <v>A - Amps</v>
      </c>
      <c r="E47" s="555"/>
      <c r="F47" s="37"/>
      <c r="G47" s="37"/>
      <c r="H47" s="555"/>
      <c r="I47" s="555"/>
      <c r="J47" s="37"/>
      <c r="K47" s="37"/>
      <c r="L47" s="37"/>
      <c r="M47" s="37"/>
      <c r="Q47" s="320"/>
      <c r="U47" s="30" t="s">
        <v>57</v>
      </c>
      <c r="V47" s="237">
        <f>SUM(L20:L26)</f>
        <v>1107.9000000000001</v>
      </c>
      <c r="W47" s="237"/>
      <c r="X47" s="237"/>
      <c r="AA47" s="237"/>
      <c r="AC47" s="262"/>
    </row>
    <row r="48" spans="2:67" ht="12" customHeight="1">
      <c r="B48" s="553"/>
      <c r="C48" s="555"/>
      <c r="D48" s="555" t="str">
        <f t="shared" ref="D48:D60" si="0">U66</f>
        <v>AFC - Available Fault Current</v>
      </c>
      <c r="E48" s="555"/>
      <c r="F48" s="37"/>
      <c r="G48" s="37"/>
      <c r="H48" s="555"/>
      <c r="I48" s="555"/>
      <c r="J48" s="37"/>
      <c r="K48" s="37"/>
      <c r="L48" s="37"/>
      <c r="M48" s="37"/>
      <c r="O48" s="246"/>
      <c r="Q48" s="320"/>
      <c r="U48" s="30" t="s">
        <v>533</v>
      </c>
      <c r="V48" s="237">
        <f>MAX(V45:V47)</f>
        <v>7157.9</v>
      </c>
      <c r="W48" s="237"/>
      <c r="X48" s="237"/>
      <c r="AA48" s="237"/>
      <c r="AC48" s="262"/>
      <c r="BG48" s="589" t="str">
        <f>'S-Input'!D4</f>
        <v>CP1</v>
      </c>
    </row>
    <row r="49" spans="2:60" ht="12" customHeight="1">
      <c r="B49" s="553"/>
      <c r="C49" s="555"/>
      <c r="D49" s="555" t="str">
        <f t="shared" si="0"/>
        <v>C - Conductor Constant</v>
      </c>
      <c r="E49" s="555"/>
      <c r="F49" s="37"/>
      <c r="G49" s="37"/>
      <c r="H49" s="555"/>
      <c r="I49" s="555"/>
      <c r="J49" s="37"/>
      <c r="K49" s="37"/>
      <c r="L49" s="37"/>
      <c r="M49" s="37"/>
      <c r="Q49" s="320"/>
      <c r="BG49" s="30" t="s">
        <v>838</v>
      </c>
    </row>
    <row r="50" spans="2:60" ht="12" customHeight="1">
      <c r="B50" s="553"/>
      <c r="C50" s="555"/>
      <c r="D50" s="555" t="str">
        <f t="shared" si="0"/>
        <v>CF - Conductor Factor</v>
      </c>
      <c r="E50" s="555"/>
      <c r="F50" s="237"/>
      <c r="G50" s="237"/>
      <c r="H50" s="555"/>
      <c r="I50" s="555"/>
      <c r="J50" s="237"/>
      <c r="K50" s="237"/>
      <c r="L50" s="237"/>
      <c r="M50" s="237"/>
      <c r="Q50" s="320"/>
      <c r="BG50" s="30" t="s">
        <v>572</v>
      </c>
    </row>
    <row r="51" spans="2:60" ht="12" customHeight="1">
      <c r="B51" s="553"/>
      <c r="C51" s="555"/>
      <c r="D51" s="555" t="str">
        <f t="shared" si="0"/>
        <v>CLC - Conductor Let-Through Current</v>
      </c>
      <c r="E51" s="555"/>
      <c r="F51" s="237"/>
      <c r="G51" s="237"/>
      <c r="H51" s="555"/>
      <c r="I51" s="555"/>
      <c r="J51" s="237"/>
      <c r="K51" s="237"/>
      <c r="L51" s="237"/>
      <c r="M51" s="237"/>
      <c r="Q51" s="320"/>
      <c r="U51" s="30" t="s">
        <v>481</v>
      </c>
      <c r="V51" s="30">
        <f>BI43</f>
        <v>0</v>
      </c>
    </row>
    <row r="52" spans="2:60" ht="12" customHeight="1">
      <c r="B52" s="553"/>
      <c r="C52" s="555"/>
      <c r="D52" s="555" t="str">
        <f t="shared" si="0"/>
        <v>CM - Conductor Multiplier</v>
      </c>
      <c r="E52" s="555"/>
      <c r="F52" s="237"/>
      <c r="G52" s="237"/>
      <c r="H52" s="555"/>
      <c r="I52" s="555"/>
      <c r="J52" s="237"/>
      <c r="K52" s="237"/>
      <c r="L52" s="237"/>
      <c r="M52" s="237"/>
      <c r="Q52" s="320"/>
      <c r="U52" s="30" t="s">
        <v>108</v>
      </c>
      <c r="V52" s="237">
        <f>BI8</f>
        <v>15300</v>
      </c>
      <c r="BH52" s="237">
        <f>'S-Input'!H8</f>
        <v>1</v>
      </c>
    </row>
    <row r="53" spans="2:60" ht="12" customHeight="1">
      <c r="B53" s="553"/>
      <c r="C53" s="555"/>
      <c r="D53" s="555" t="str">
        <f t="shared" si="0"/>
        <v>L - Length of Conductor</v>
      </c>
      <c r="E53" s="555"/>
      <c r="H53" s="555"/>
      <c r="I53" s="555"/>
      <c r="Q53" s="320"/>
      <c r="U53" s="30" t="s">
        <v>558</v>
      </c>
      <c r="V53" s="315">
        <f>IF(V52=0,0,V51/V52)</f>
        <v>0</v>
      </c>
      <c r="W53" s="315"/>
      <c r="X53" s="315"/>
    </row>
    <row r="54" spans="2:60" ht="12" customHeight="1">
      <c r="B54" s="553"/>
      <c r="D54" s="555" t="str">
        <f t="shared" si="0"/>
        <v>MC - Motor Contribution</v>
      </c>
      <c r="Q54" s="320"/>
    </row>
    <row r="55" spans="2:60" ht="12" customHeight="1">
      <c r="B55" s="553"/>
      <c r="D55" s="555" t="str">
        <f t="shared" si="0"/>
        <v>N - Number of Conductors Per Phase</v>
      </c>
      <c r="Q55" s="320"/>
      <c r="V55" s="30" t="s">
        <v>245</v>
      </c>
      <c r="W55" s="30" t="s">
        <v>559</v>
      </c>
      <c r="X55" s="30" t="str">
        <f>TEXT(V51, "#,##0")</f>
        <v>0</v>
      </c>
      <c r="Y55" s="30" t="s">
        <v>560</v>
      </c>
      <c r="Z55" s="30" t="s">
        <v>561</v>
      </c>
      <c r="AA55" s="30" t="str">
        <f>TEXT(V52, "#,##0")</f>
        <v>15,300</v>
      </c>
      <c r="AB55" s="30" t="s">
        <v>562</v>
      </c>
      <c r="AC55" s="30">
        <f>ROUND(V53*100,1)</f>
        <v>0</v>
      </c>
      <c r="AD55" s="30" t="s">
        <v>246</v>
      </c>
      <c r="AE55" s="30" t="str">
        <f>CONCATENATE(V55,W55,X55,Y55,Z55,AA55,AB55,AC55,AD55)</f>
        <v>( Harmonic Load 0 VA ÷ Connected Load 15,300 VA ) X 100 = 0 %</v>
      </c>
      <c r="BH55" s="30">
        <f>IF(BH52&lt;&gt;"3Y",0,IF(OR(BG48=BG49,BG48=BG50),0,'S-Input'!AS76))</f>
        <v>0</v>
      </c>
    </row>
    <row r="56" spans="2:60" ht="12" customHeight="1">
      <c r="B56" s="553"/>
      <c r="D56" s="555" t="str">
        <f t="shared" si="0"/>
        <v>R - Resistance</v>
      </c>
      <c r="Q56" s="320"/>
      <c r="T56" s="30" t="str">
        <f>V14</f>
        <v>YES</v>
      </c>
    </row>
    <row r="57" spans="2:60" ht="12" customHeight="1">
      <c r="B57" s="553"/>
      <c r="D57" s="555" t="str">
        <f t="shared" si="0"/>
        <v>UA - Utility Adjustment 1.1</v>
      </c>
      <c r="Q57" s="320"/>
      <c r="T57" s="598" t="str">
        <f>V15</f>
        <v>YES</v>
      </c>
      <c r="U57" s="30">
        <f>IF(AND(V15="NO",V14="NO"),2,0)</f>
        <v>0</v>
      </c>
    </row>
    <row r="58" spans="2:60" ht="12" customHeight="1">
      <c r="B58" s="553"/>
      <c r="D58" s="555" t="str">
        <f t="shared" si="0"/>
        <v>V - Voltage</v>
      </c>
      <c r="Q58" s="320"/>
      <c r="U58" s="30">
        <f>IF(AND(V15="NO",V14="YES"),3,0)</f>
        <v>0</v>
      </c>
    </row>
    <row r="59" spans="2:60" ht="12" customHeight="1">
      <c r="B59" s="553"/>
      <c r="D59" s="555" t="str">
        <f t="shared" si="0"/>
        <v>VA - Volt Amps</v>
      </c>
      <c r="Q59" s="320"/>
      <c r="U59" s="598">
        <f>IF(AND(V15="YES",V14="NO"),4,0)</f>
        <v>0</v>
      </c>
    </row>
    <row r="60" spans="2:60" ht="12" customHeight="1">
      <c r="B60" s="553"/>
      <c r="D60" s="555" t="str">
        <f t="shared" si="0"/>
        <v>VD - Voltage Drop</v>
      </c>
      <c r="Q60" s="320"/>
      <c r="U60" s="30">
        <f>IF(AND(V15="YES",V14="YES"),5,0)</f>
        <v>5</v>
      </c>
    </row>
    <row r="61" spans="2:60" ht="12" customHeight="1">
      <c r="B61" s="553"/>
      <c r="Q61" s="320"/>
      <c r="U61" s="454"/>
      <c r="V61" s="454"/>
      <c r="W61" s="454"/>
      <c r="X61" s="454"/>
      <c r="Y61" s="454"/>
      <c r="Z61" s="454"/>
      <c r="AA61" s="454"/>
      <c r="AB61" s="454"/>
      <c r="AC61" s="454"/>
    </row>
    <row r="62" spans="2:60" ht="12" customHeight="1">
      <c r="B62" s="543"/>
      <c r="C62" s="38"/>
      <c r="D62" s="554" t="s">
        <v>990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544"/>
      <c r="U62" s="454"/>
      <c r="V62" s="454"/>
      <c r="W62" s="454"/>
      <c r="X62" s="454"/>
      <c r="Y62" s="454"/>
      <c r="Z62" s="454"/>
      <c r="AA62" s="454"/>
      <c r="AB62" s="454"/>
      <c r="AC62" s="454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</row>
    <row r="63" spans="2:60" ht="14.1" customHeight="1">
      <c r="U63" s="454">
        <f>SUM(U57:U62)</f>
        <v>5</v>
      </c>
      <c r="V63" s="454"/>
      <c r="W63" s="451">
        <v>2</v>
      </c>
      <c r="X63" s="451">
        <v>3</v>
      </c>
      <c r="Y63" s="451">
        <v>4</v>
      </c>
      <c r="Z63" s="451">
        <v>5</v>
      </c>
      <c r="AA63" s="451"/>
      <c r="AB63" s="454"/>
      <c r="AC63" s="454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</row>
    <row r="64" spans="2:60" ht="14.1" hidden="1" customHeight="1">
      <c r="U64" s="454"/>
      <c r="V64" s="454"/>
      <c r="W64" s="451"/>
      <c r="X64" s="245"/>
      <c r="Y64" s="451"/>
      <c r="Z64" s="451"/>
      <c r="AA64" s="451"/>
      <c r="AB64" s="454"/>
      <c r="AC64" s="454"/>
      <c r="AD64" s="454"/>
      <c r="AE64" s="455"/>
      <c r="AF64" s="454"/>
      <c r="AG64" s="454"/>
      <c r="AH64" s="454"/>
      <c r="AI64" s="454"/>
      <c r="AJ64" s="454"/>
      <c r="AK64" s="454"/>
      <c r="AL64" s="454"/>
      <c r="AM64" s="229"/>
      <c r="AN64" s="229"/>
      <c r="AO64" s="229"/>
      <c r="AP64" s="229"/>
    </row>
    <row r="65" spans="21:42" ht="14.1" hidden="1" customHeight="1">
      <c r="U65" s="454" t="str">
        <f>IF(U$63=2,W65,IF(U$63=3,X65,IF(U$63=4,Y65,IF(U$63=5,Z65))))</f>
        <v>A - Amps</v>
      </c>
      <c r="V65" s="454"/>
      <c r="W65" s="245" t="s">
        <v>733</v>
      </c>
      <c r="X65" s="245" t="s">
        <v>733</v>
      </c>
      <c r="Y65" s="245" t="s">
        <v>733</v>
      </c>
      <c r="Z65" s="245" t="s">
        <v>733</v>
      </c>
      <c r="AA65" s="245"/>
      <c r="AB65" s="245"/>
      <c r="AC65" s="454"/>
      <c r="AD65" s="245"/>
      <c r="AE65" s="454"/>
      <c r="AF65" s="454"/>
      <c r="AG65" s="454"/>
      <c r="AH65" s="454"/>
      <c r="AI65" s="454"/>
      <c r="AJ65" s="454"/>
      <c r="AK65" s="245"/>
      <c r="AL65" s="454"/>
      <c r="AM65" s="229"/>
      <c r="AN65" s="229"/>
      <c r="AO65" s="245"/>
      <c r="AP65" s="229"/>
    </row>
    <row r="66" spans="21:42" ht="14.1" hidden="1" customHeight="1">
      <c r="U66" s="454" t="str">
        <f t="shared" ref="U66:U83" si="1">IF(U$63=2,W66,IF(U$63=3,X66,IF(U$63=4,Y66,IF(U$63=5,Z66))))</f>
        <v>AFC - Available Fault Current</v>
      </c>
      <c r="V66" s="454"/>
      <c r="W66" s="245" t="s">
        <v>751</v>
      </c>
      <c r="X66" s="245" t="s">
        <v>740</v>
      </c>
      <c r="Y66" s="245" t="s">
        <v>734</v>
      </c>
      <c r="Z66" s="245" t="s">
        <v>734</v>
      </c>
      <c r="AA66" s="245"/>
      <c r="AB66" s="245"/>
      <c r="AC66" s="454"/>
      <c r="AD66" s="245"/>
      <c r="AE66" s="454"/>
      <c r="AF66" s="483"/>
      <c r="AG66" s="454"/>
      <c r="AH66" s="454"/>
      <c r="AI66" s="454"/>
      <c r="AJ66" s="454"/>
      <c r="AK66" s="245"/>
      <c r="AL66" s="454"/>
      <c r="AM66" s="229"/>
      <c r="AN66" s="229"/>
      <c r="AO66" s="245"/>
      <c r="AP66" s="229"/>
    </row>
    <row r="67" spans="21:42" ht="14.1" hidden="1" customHeight="1">
      <c r="U67" s="454" t="str">
        <f t="shared" si="1"/>
        <v>C - Conductor Constant</v>
      </c>
      <c r="V67" s="454"/>
      <c r="W67" s="245" t="s">
        <v>12</v>
      </c>
      <c r="X67" s="245" t="s">
        <v>744</v>
      </c>
      <c r="Y67" s="245" t="s">
        <v>735</v>
      </c>
      <c r="Z67" s="245" t="s">
        <v>735</v>
      </c>
      <c r="AA67" s="245"/>
      <c r="AB67" s="245"/>
      <c r="AC67" s="454"/>
      <c r="AD67" s="245"/>
      <c r="AE67" s="454"/>
      <c r="AF67" s="454"/>
      <c r="AG67" s="454"/>
      <c r="AH67" s="454"/>
      <c r="AI67" s="454"/>
      <c r="AJ67" s="454"/>
      <c r="AK67" s="245"/>
      <c r="AL67" s="454"/>
      <c r="AM67" s="229"/>
      <c r="AN67" s="229"/>
      <c r="AO67" s="245"/>
      <c r="AP67" s="229"/>
    </row>
    <row r="68" spans="21:42" ht="14.1" hidden="1" customHeight="1">
      <c r="U68" s="454" t="str">
        <f t="shared" si="1"/>
        <v>CF - Conductor Factor</v>
      </c>
      <c r="V68" s="454"/>
      <c r="W68" s="245" t="s">
        <v>12</v>
      </c>
      <c r="X68" s="245" t="s">
        <v>750</v>
      </c>
      <c r="Y68" s="245" t="s">
        <v>736</v>
      </c>
      <c r="Z68" s="245" t="s">
        <v>736</v>
      </c>
      <c r="AA68" s="245"/>
      <c r="AB68" s="245"/>
      <c r="AC68" s="454"/>
      <c r="AD68" s="455"/>
      <c r="AE68" s="454"/>
      <c r="AF68" s="454"/>
      <c r="AG68" s="454"/>
      <c r="AH68" s="454"/>
      <c r="AI68" s="454"/>
      <c r="AJ68" s="454"/>
      <c r="AK68" s="245"/>
      <c r="AL68" s="454"/>
      <c r="AM68" s="229"/>
      <c r="AN68" s="229"/>
      <c r="AO68" s="245"/>
      <c r="AP68" s="229"/>
    </row>
    <row r="69" spans="21:42" ht="14.1" hidden="1" customHeight="1">
      <c r="U69" s="454" t="str">
        <f t="shared" si="1"/>
        <v>CLC - Conductor Let-Through Current</v>
      </c>
      <c r="V69" s="454"/>
      <c r="W69" s="245" t="s">
        <v>12</v>
      </c>
      <c r="X69" s="245" t="s">
        <v>751</v>
      </c>
      <c r="Y69" s="245" t="s">
        <v>737</v>
      </c>
      <c r="Z69" s="245" t="s">
        <v>737</v>
      </c>
      <c r="AA69" s="245"/>
      <c r="AB69" s="245"/>
      <c r="AC69" s="454"/>
      <c r="AD69" s="455"/>
      <c r="AE69" s="454"/>
      <c r="AF69" s="454"/>
      <c r="AG69" s="454"/>
      <c r="AH69" s="454"/>
      <c r="AI69" s="454"/>
      <c r="AJ69" s="454"/>
      <c r="AK69" s="245"/>
      <c r="AL69" s="454"/>
      <c r="AM69" s="229"/>
      <c r="AN69" s="229"/>
      <c r="AO69" s="245"/>
      <c r="AP69" s="229"/>
    </row>
    <row r="70" spans="21:42" ht="14.1" hidden="1" customHeight="1">
      <c r="U70" s="454" t="str">
        <f t="shared" si="1"/>
        <v>CM - Conductor Multiplier</v>
      </c>
      <c r="V70" s="454"/>
      <c r="W70" s="245" t="s">
        <v>12</v>
      </c>
      <c r="X70" s="245" t="s">
        <v>752</v>
      </c>
      <c r="Y70" s="245" t="s">
        <v>738</v>
      </c>
      <c r="Z70" s="245" t="s">
        <v>738</v>
      </c>
      <c r="AA70" s="245"/>
      <c r="AB70" s="245"/>
      <c r="AC70" s="454"/>
      <c r="AD70" s="455"/>
      <c r="AE70" s="454"/>
      <c r="AF70" s="454"/>
      <c r="AG70" s="454"/>
      <c r="AH70" s="454"/>
      <c r="AI70" s="454"/>
      <c r="AJ70" s="454"/>
      <c r="AK70" s="245"/>
      <c r="AL70" s="454"/>
      <c r="AM70" s="229"/>
      <c r="AN70" s="229"/>
      <c r="AO70" s="245"/>
      <c r="AP70" s="229"/>
    </row>
    <row r="71" spans="21:42" ht="14.1" hidden="1" customHeight="1">
      <c r="U71" s="454" t="str">
        <f t="shared" si="1"/>
        <v>L - Length of Conductor</v>
      </c>
      <c r="V71" s="454"/>
      <c r="W71" s="451" t="s">
        <v>12</v>
      </c>
      <c r="X71" s="451" t="s">
        <v>12</v>
      </c>
      <c r="Y71" s="245" t="s">
        <v>740</v>
      </c>
      <c r="Z71" s="245" t="s">
        <v>740</v>
      </c>
      <c r="AA71" s="245"/>
      <c r="AB71" s="245"/>
      <c r="AC71" s="454"/>
      <c r="AD71" s="454"/>
      <c r="AE71" s="454"/>
      <c r="AF71" s="454"/>
      <c r="AG71" s="454"/>
      <c r="AH71" s="454"/>
      <c r="AI71" s="454"/>
      <c r="AJ71" s="454"/>
      <c r="AK71" s="245"/>
      <c r="AL71" s="454"/>
      <c r="AM71" s="229"/>
      <c r="AN71" s="229"/>
      <c r="AO71" s="245"/>
      <c r="AP71" s="229"/>
    </row>
    <row r="72" spans="21:42" ht="14.1" hidden="1" customHeight="1">
      <c r="U72" s="454" t="str">
        <f t="shared" si="1"/>
        <v>MC - Motor Contribution</v>
      </c>
      <c r="V72" s="454"/>
      <c r="W72" s="451" t="s">
        <v>12</v>
      </c>
      <c r="X72" s="451" t="s">
        <v>12</v>
      </c>
      <c r="Y72" s="245" t="s">
        <v>741</v>
      </c>
      <c r="Z72" s="245" t="s">
        <v>741</v>
      </c>
      <c r="AA72" s="245"/>
      <c r="AB72" s="245"/>
      <c r="AC72" s="454"/>
      <c r="AD72" s="454"/>
      <c r="AE72" s="454"/>
      <c r="AF72" s="454"/>
      <c r="AG72" s="454"/>
      <c r="AH72" s="454"/>
      <c r="AI72" s="454"/>
      <c r="AJ72" s="454"/>
      <c r="AK72" s="245"/>
      <c r="AL72" s="454"/>
      <c r="AM72" s="229"/>
      <c r="AN72" s="229"/>
      <c r="AO72" s="245"/>
      <c r="AP72" s="229"/>
    </row>
    <row r="73" spans="21:42" ht="14.1" hidden="1" customHeight="1">
      <c r="U73" s="454" t="str">
        <f t="shared" si="1"/>
        <v>N - Number of Conductors Per Phase</v>
      </c>
      <c r="V73" s="454"/>
      <c r="W73" s="451" t="s">
        <v>12</v>
      </c>
      <c r="X73" s="451" t="s">
        <v>12</v>
      </c>
      <c r="Y73" s="245" t="s">
        <v>742</v>
      </c>
      <c r="Z73" s="245" t="s">
        <v>742</v>
      </c>
      <c r="AA73" s="245"/>
      <c r="AB73" s="245"/>
      <c r="AC73" s="454"/>
      <c r="AD73" s="454"/>
      <c r="AE73" s="454"/>
      <c r="AF73" s="454"/>
      <c r="AG73" s="454"/>
      <c r="AH73" s="454"/>
      <c r="AI73" s="454"/>
      <c r="AJ73" s="454"/>
      <c r="AK73" s="245"/>
      <c r="AL73" s="454"/>
      <c r="AM73" s="229"/>
      <c r="AN73" s="229"/>
      <c r="AO73" s="245"/>
      <c r="AP73" s="229"/>
    </row>
    <row r="74" spans="21:42" ht="14.1" hidden="1" customHeight="1">
      <c r="U74" s="454" t="str">
        <f t="shared" si="1"/>
        <v>R - Resistance</v>
      </c>
      <c r="V74" s="454"/>
      <c r="W74" s="451" t="s">
        <v>12</v>
      </c>
      <c r="X74" s="451" t="s">
        <v>12</v>
      </c>
      <c r="Y74" s="245" t="s">
        <v>749</v>
      </c>
      <c r="Z74" s="245" t="s">
        <v>744</v>
      </c>
      <c r="AA74" s="245"/>
      <c r="AB74" s="245"/>
      <c r="AC74" s="454"/>
      <c r="AD74" s="454"/>
      <c r="AE74" s="454"/>
      <c r="AF74" s="454"/>
      <c r="AG74" s="454"/>
      <c r="AH74" s="454"/>
      <c r="AI74" s="454"/>
      <c r="AJ74" s="454"/>
      <c r="AK74" s="245"/>
      <c r="AL74" s="454"/>
      <c r="AM74" s="229"/>
      <c r="AN74" s="229"/>
      <c r="AO74" s="245"/>
      <c r="AP74" s="229"/>
    </row>
    <row r="75" spans="21:42" ht="14.1" hidden="1" customHeight="1">
      <c r="U75" s="454" t="str">
        <f t="shared" si="1"/>
        <v>UA - Utility Adjustment 1.1</v>
      </c>
      <c r="V75" s="454"/>
      <c r="W75" s="451" t="s">
        <v>12</v>
      </c>
      <c r="X75" s="451" t="s">
        <v>12</v>
      </c>
      <c r="Y75" s="245" t="s">
        <v>750</v>
      </c>
      <c r="Z75" s="245" t="s">
        <v>749</v>
      </c>
      <c r="AA75" s="245"/>
      <c r="AB75" s="245"/>
      <c r="AC75" s="454"/>
      <c r="AD75" s="454"/>
      <c r="AE75" s="454"/>
      <c r="AF75" s="454"/>
      <c r="AG75" s="454"/>
      <c r="AH75" s="454"/>
      <c r="AI75" s="454"/>
      <c r="AJ75" s="454"/>
      <c r="AK75" s="245"/>
      <c r="AL75" s="454"/>
      <c r="AM75" s="229"/>
      <c r="AN75" s="229"/>
      <c r="AO75" s="245"/>
      <c r="AP75" s="229"/>
    </row>
    <row r="76" spans="21:42" ht="14.1" hidden="1" customHeight="1">
      <c r="U76" s="454" t="str">
        <f t="shared" si="1"/>
        <v>V - Voltage</v>
      </c>
      <c r="V76" s="454"/>
      <c r="W76" s="451" t="s">
        <v>12</v>
      </c>
      <c r="X76" s="451" t="s">
        <v>12</v>
      </c>
      <c r="Y76" s="245" t="s">
        <v>751</v>
      </c>
      <c r="Z76" s="245" t="s">
        <v>750</v>
      </c>
      <c r="AA76" s="245"/>
      <c r="AB76" s="245"/>
      <c r="AC76" s="454"/>
      <c r="AD76" s="454"/>
      <c r="AE76" s="454"/>
      <c r="AF76" s="454"/>
      <c r="AG76" s="454"/>
      <c r="AH76" s="454"/>
      <c r="AI76" s="454"/>
      <c r="AJ76" s="454"/>
      <c r="AK76" s="245"/>
      <c r="AL76" s="454"/>
      <c r="AM76" s="229"/>
      <c r="AN76" s="229"/>
      <c r="AO76" s="245"/>
      <c r="AP76" s="229"/>
    </row>
    <row r="77" spans="21:42" ht="14.1" hidden="1" customHeight="1">
      <c r="U77" s="454" t="str">
        <f t="shared" si="1"/>
        <v>VA - Volt Amps</v>
      </c>
      <c r="V77" s="454"/>
      <c r="W77" s="451" t="s">
        <v>12</v>
      </c>
      <c r="X77" s="451" t="s">
        <v>12</v>
      </c>
      <c r="Y77" s="245" t="s">
        <v>12</v>
      </c>
      <c r="Z77" s="245" t="s">
        <v>751</v>
      </c>
      <c r="AA77" s="245"/>
      <c r="AB77" s="245"/>
      <c r="AC77" s="454"/>
      <c r="AD77" s="454"/>
      <c r="AE77" s="454"/>
      <c r="AF77" s="454"/>
      <c r="AG77" s="454"/>
      <c r="AH77" s="454"/>
      <c r="AI77" s="454"/>
      <c r="AJ77" s="454"/>
      <c r="AK77" s="245"/>
      <c r="AL77" s="454"/>
      <c r="AM77" s="229"/>
      <c r="AN77" s="229"/>
      <c r="AO77" s="245"/>
      <c r="AP77" s="229"/>
    </row>
    <row r="78" spans="21:42" ht="14.1" hidden="1" customHeight="1">
      <c r="U78" s="454" t="str">
        <f t="shared" si="1"/>
        <v>VD - Voltage Drop</v>
      </c>
      <c r="V78" s="454"/>
      <c r="W78" s="451" t="s">
        <v>12</v>
      </c>
      <c r="X78" s="451" t="s">
        <v>12</v>
      </c>
      <c r="Y78" s="245" t="s">
        <v>12</v>
      </c>
      <c r="Z78" s="245" t="s">
        <v>752</v>
      </c>
      <c r="AA78" s="245"/>
      <c r="AB78" s="245"/>
      <c r="AC78" s="454"/>
      <c r="AD78" s="454"/>
      <c r="AE78" s="454"/>
      <c r="AF78" s="454"/>
      <c r="AG78" s="454"/>
      <c r="AH78" s="454"/>
      <c r="AI78" s="454"/>
      <c r="AJ78" s="454"/>
      <c r="AK78" s="245"/>
      <c r="AL78" s="454"/>
      <c r="AM78" s="229"/>
      <c r="AN78" s="229"/>
      <c r="AO78" s="245"/>
      <c r="AP78" s="229"/>
    </row>
    <row r="79" spans="21:42" ht="14.1" hidden="1" customHeight="1">
      <c r="U79" s="454" t="str">
        <f t="shared" si="1"/>
        <v xml:space="preserve"> </v>
      </c>
      <c r="V79" s="454"/>
      <c r="W79" s="451" t="s">
        <v>12</v>
      </c>
      <c r="X79" s="451" t="s">
        <v>12</v>
      </c>
      <c r="Y79" s="451" t="s">
        <v>12</v>
      </c>
      <c r="Z79" s="451" t="s">
        <v>12</v>
      </c>
      <c r="AA79" s="245"/>
      <c r="AB79" s="245"/>
      <c r="AC79" s="454"/>
      <c r="AD79" s="454"/>
      <c r="AE79" s="454"/>
      <c r="AF79" s="454"/>
      <c r="AG79" s="454"/>
      <c r="AH79" s="454"/>
      <c r="AI79" s="454"/>
      <c r="AJ79" s="454"/>
      <c r="AK79" s="245"/>
      <c r="AL79" s="454"/>
      <c r="AM79" s="229"/>
      <c r="AN79" s="229"/>
      <c r="AO79" s="229"/>
      <c r="AP79" s="229"/>
    </row>
    <row r="80" spans="21:42" ht="14.1" hidden="1" customHeight="1">
      <c r="U80" s="454" t="str">
        <f t="shared" si="1"/>
        <v xml:space="preserve"> </v>
      </c>
      <c r="V80" s="454"/>
      <c r="W80" s="451" t="s">
        <v>12</v>
      </c>
      <c r="X80" s="451" t="s">
        <v>12</v>
      </c>
      <c r="Y80" s="451" t="s">
        <v>12</v>
      </c>
      <c r="Z80" s="451" t="s">
        <v>12</v>
      </c>
      <c r="AA80" s="245"/>
      <c r="AB80" s="245"/>
      <c r="AC80" s="454"/>
      <c r="AD80" s="454"/>
      <c r="AE80" s="454"/>
      <c r="AF80" s="454"/>
      <c r="AG80" s="454"/>
      <c r="AH80" s="454"/>
      <c r="AI80" s="454"/>
      <c r="AJ80" s="454"/>
      <c r="AK80" s="245"/>
      <c r="AL80" s="454"/>
      <c r="AM80" s="229"/>
      <c r="AN80" s="229"/>
      <c r="AO80" s="229"/>
      <c r="AP80" s="229"/>
    </row>
    <row r="81" spans="21:42" ht="14.1" hidden="1" customHeight="1">
      <c r="U81" s="454" t="str">
        <f t="shared" si="1"/>
        <v xml:space="preserve"> </v>
      </c>
      <c r="V81" s="454"/>
      <c r="W81" s="451" t="s">
        <v>12</v>
      </c>
      <c r="X81" s="451" t="s">
        <v>12</v>
      </c>
      <c r="Y81" s="451" t="s">
        <v>12</v>
      </c>
      <c r="Z81" s="451" t="s">
        <v>12</v>
      </c>
      <c r="AA81" s="245"/>
      <c r="AB81" s="245"/>
      <c r="AC81" s="454"/>
      <c r="AD81" s="454"/>
      <c r="AE81" s="454"/>
      <c r="AF81" s="454"/>
      <c r="AG81" s="454"/>
      <c r="AH81" s="454"/>
      <c r="AI81" s="454"/>
      <c r="AJ81" s="454"/>
      <c r="AK81" s="245"/>
      <c r="AL81" s="454"/>
      <c r="AM81" s="229"/>
      <c r="AN81" s="229"/>
      <c r="AO81" s="229"/>
      <c r="AP81" s="229"/>
    </row>
    <row r="82" spans="21:42" ht="14.1" hidden="1" customHeight="1">
      <c r="U82" s="454" t="str">
        <f t="shared" si="1"/>
        <v xml:space="preserve"> </v>
      </c>
      <c r="V82" s="454"/>
      <c r="W82" s="451" t="s">
        <v>12</v>
      </c>
      <c r="X82" s="451" t="s">
        <v>12</v>
      </c>
      <c r="Y82" s="451" t="s">
        <v>12</v>
      </c>
      <c r="Z82" s="451" t="s">
        <v>12</v>
      </c>
      <c r="AA82" s="245"/>
      <c r="AB82" s="245"/>
      <c r="AC82" s="454"/>
      <c r="AD82" s="454"/>
      <c r="AE82" s="454"/>
      <c r="AF82" s="454"/>
      <c r="AG82" s="454"/>
      <c r="AH82" s="454"/>
      <c r="AI82" s="454"/>
      <c r="AJ82" s="454"/>
      <c r="AK82" s="245"/>
      <c r="AL82" s="454"/>
      <c r="AM82" s="229"/>
      <c r="AN82" s="229"/>
      <c r="AO82" s="229"/>
      <c r="AP82" s="229"/>
    </row>
    <row r="83" spans="21:42" ht="14.1" hidden="1" customHeight="1">
      <c r="U83" s="454" t="str">
        <f t="shared" si="1"/>
        <v xml:space="preserve"> </v>
      </c>
      <c r="V83" s="454"/>
      <c r="W83" s="451" t="s">
        <v>12</v>
      </c>
      <c r="X83" s="451" t="s">
        <v>12</v>
      </c>
      <c r="Y83" s="451" t="s">
        <v>12</v>
      </c>
      <c r="Z83" s="451" t="s">
        <v>12</v>
      </c>
      <c r="AA83" s="245"/>
      <c r="AB83" s="245"/>
      <c r="AC83" s="454"/>
      <c r="AD83" s="454"/>
      <c r="AE83" s="454"/>
      <c r="AF83" s="454"/>
      <c r="AG83" s="454"/>
      <c r="AH83" s="454"/>
      <c r="AI83" s="454"/>
      <c r="AJ83" s="454"/>
      <c r="AK83" s="245"/>
      <c r="AL83" s="454"/>
      <c r="AM83" s="229"/>
      <c r="AN83" s="229"/>
      <c r="AO83" s="229"/>
      <c r="AP83" s="229"/>
    </row>
    <row r="84" spans="21:42" ht="14.1" hidden="1" customHeight="1">
      <c r="U84" s="454" t="str">
        <f>IF(U$63=2,W84,IF(U$63=3,X84,IF(U$63=4,Y84,IF(U$63=5,Z84,IF(U$63=6,AA84,IF(U$63=7,AB84))))))</f>
        <v xml:space="preserve"> </v>
      </c>
      <c r="V84" s="454"/>
      <c r="W84" s="451" t="s">
        <v>12</v>
      </c>
      <c r="X84" s="451" t="s">
        <v>12</v>
      </c>
      <c r="Y84" s="451" t="s">
        <v>12</v>
      </c>
      <c r="Z84" s="451" t="s">
        <v>12</v>
      </c>
      <c r="AA84" s="245"/>
      <c r="AB84" s="245"/>
      <c r="AC84" s="454"/>
      <c r="AD84" s="454"/>
      <c r="AE84" s="454"/>
      <c r="AF84" s="454"/>
      <c r="AG84" s="454"/>
      <c r="AH84" s="454"/>
      <c r="AI84" s="454"/>
      <c r="AJ84" s="454"/>
      <c r="AK84" s="245"/>
      <c r="AL84" s="454"/>
      <c r="AM84" s="229"/>
      <c r="AN84" s="229"/>
      <c r="AO84" s="229"/>
      <c r="AP84" s="229"/>
    </row>
    <row r="85" spans="21:42" ht="14.1" hidden="1" customHeight="1">
      <c r="U85" s="454" t="str">
        <f>IF(U$63=2,W85,IF(U$63=3,X85,IF(U$63=4,Y85,IF(U$63=5,Z85,IF(U$63=6,AA85,IF(U$63=7,AB85))))))</f>
        <v xml:space="preserve"> </v>
      </c>
      <c r="V85" s="454"/>
      <c r="W85" s="451" t="s">
        <v>12</v>
      </c>
      <c r="X85" s="451" t="s">
        <v>12</v>
      </c>
      <c r="Y85" s="451" t="s">
        <v>12</v>
      </c>
      <c r="Z85" s="451" t="s">
        <v>12</v>
      </c>
      <c r="AA85" s="245"/>
      <c r="AB85" s="245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229"/>
      <c r="AN85" s="229"/>
      <c r="AO85" s="229"/>
      <c r="AP85" s="229"/>
    </row>
    <row r="86" spans="21:42" ht="14.1" hidden="1" customHeight="1">
      <c r="U86" s="454" t="s">
        <v>848</v>
      </c>
      <c r="V86" s="454"/>
      <c r="W86" s="451"/>
      <c r="X86" s="451"/>
      <c r="Y86" s="451"/>
      <c r="Z86" s="451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229"/>
      <c r="AN86" s="229"/>
      <c r="AO86" s="229"/>
      <c r="AP86" s="229"/>
    </row>
    <row r="87" spans="21:42" ht="14.1" hidden="1" customHeight="1"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229"/>
      <c r="AN87" s="229"/>
      <c r="AO87" s="229"/>
      <c r="AP87" s="229"/>
    </row>
    <row r="88" spans="21:42" ht="14.1" hidden="1" customHeight="1"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</row>
    <row r="89" spans="21:42" ht="14.1" hidden="1" customHeight="1"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229"/>
      <c r="AP89" s="229"/>
    </row>
    <row r="90" spans="21:42" ht="14.1" hidden="1" customHeight="1"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</row>
    <row r="91" spans="21:42" ht="14.1" hidden="1" customHeight="1">
      <c r="V91" s="229"/>
      <c r="W91" s="229"/>
      <c r="X91" s="229"/>
      <c r="Y91" s="229"/>
      <c r="Z91" s="229"/>
      <c r="AA91" s="229"/>
      <c r="AB91" s="229"/>
      <c r="AC91" s="229"/>
      <c r="AD91" s="596"/>
      <c r="AE91" s="229"/>
      <c r="AF91" s="229"/>
      <c r="AG91" s="229"/>
      <c r="AH91" s="229"/>
      <c r="AI91" s="229"/>
      <c r="AJ91" s="229"/>
      <c r="AK91" s="229"/>
      <c r="AL91" s="229"/>
      <c r="AM91" s="229"/>
      <c r="AN91" s="229"/>
      <c r="AO91" s="229"/>
      <c r="AP91" s="229"/>
    </row>
    <row r="92" spans="21:42" ht="14.1" hidden="1" customHeight="1"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  <c r="AK92" s="229"/>
      <c r="AL92" s="229"/>
      <c r="AM92" s="229"/>
      <c r="AN92" s="229"/>
      <c r="AO92" s="229"/>
      <c r="AP92" s="229"/>
    </row>
    <row r="93" spans="21:42" ht="14.1" hidden="1" customHeight="1"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  <c r="AK93" s="229"/>
      <c r="AL93" s="229"/>
      <c r="AM93" s="229"/>
      <c r="AN93" s="229"/>
      <c r="AO93" s="229"/>
      <c r="AP93" s="229"/>
    </row>
    <row r="94" spans="21:42" ht="14.1" hidden="1" customHeight="1"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29"/>
      <c r="AO94" s="229"/>
      <c r="AP94" s="229"/>
    </row>
    <row r="95" spans="21:42" ht="14.1" hidden="1" customHeight="1"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</row>
    <row r="96" spans="21:42" ht="14.1" hidden="1" customHeight="1"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</row>
    <row r="97" spans="22:42" ht="14.1" hidden="1" customHeight="1"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</row>
    <row r="98" spans="22:42" ht="14.1" hidden="1" customHeight="1"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  <c r="AJ98" s="229"/>
      <c r="AK98" s="229"/>
      <c r="AL98" s="229"/>
      <c r="AM98" s="229"/>
      <c r="AN98" s="229"/>
      <c r="AO98" s="229"/>
      <c r="AP98" s="229"/>
    </row>
    <row r="99" spans="22:42" ht="14.1" hidden="1" customHeight="1">
      <c r="V99" s="229"/>
      <c r="W99" s="229"/>
      <c r="X99" s="229"/>
      <c r="Y99" s="245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29"/>
      <c r="AP99" s="229"/>
    </row>
    <row r="100" spans="22:42" ht="14.1" hidden="1" customHeight="1">
      <c r="V100" s="229"/>
      <c r="W100" s="229"/>
      <c r="X100" s="229"/>
      <c r="Y100" s="245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29"/>
      <c r="AL100" s="229"/>
      <c r="AM100" s="229"/>
      <c r="AN100" s="229"/>
      <c r="AO100" s="229"/>
      <c r="AP100" s="229"/>
    </row>
    <row r="101" spans="22:42" ht="14.1" hidden="1" customHeight="1">
      <c r="V101" s="229"/>
      <c r="W101" s="229"/>
      <c r="X101" s="229"/>
      <c r="Y101" s="245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  <c r="AJ101" s="229"/>
      <c r="AK101" s="229"/>
      <c r="AL101" s="229"/>
      <c r="AM101" s="229"/>
      <c r="AN101" s="229"/>
      <c r="AO101" s="229"/>
      <c r="AP101" s="229"/>
    </row>
    <row r="102" spans="22:42" ht="14.1" hidden="1" customHeight="1">
      <c r="V102" s="229"/>
      <c r="W102" s="229"/>
      <c r="X102" s="229"/>
      <c r="Y102" s="245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  <c r="AJ102" s="229"/>
      <c r="AK102" s="229"/>
      <c r="AL102" s="229"/>
      <c r="AM102" s="229"/>
      <c r="AN102" s="229"/>
      <c r="AO102" s="229"/>
      <c r="AP102" s="229"/>
    </row>
    <row r="103" spans="22:42" ht="14.1" hidden="1" customHeight="1">
      <c r="V103" s="229"/>
      <c r="W103" s="229"/>
      <c r="X103" s="229"/>
      <c r="Y103" s="245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  <c r="AP103" s="229"/>
    </row>
    <row r="104" spans="22:42" ht="14.1" hidden="1" customHeight="1">
      <c r="V104" s="229"/>
      <c r="W104" s="229"/>
      <c r="X104" s="229"/>
      <c r="Y104" s="245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</row>
    <row r="105" spans="22:42" ht="14.1" hidden="1" customHeight="1">
      <c r="V105" s="229"/>
      <c r="W105" s="229"/>
      <c r="X105" s="229"/>
      <c r="Y105" s="245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</row>
    <row r="106" spans="22:42" ht="14.1" hidden="1" customHeight="1">
      <c r="V106" s="229"/>
      <c r="W106" s="229"/>
      <c r="X106" s="229"/>
      <c r="Y106" s="245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  <c r="AJ106" s="229"/>
      <c r="AK106" s="229"/>
      <c r="AL106" s="229"/>
      <c r="AM106" s="229"/>
      <c r="AN106" s="229"/>
      <c r="AO106" s="229"/>
      <c r="AP106" s="229"/>
    </row>
    <row r="107" spans="22:42" ht="14.1" hidden="1" customHeight="1">
      <c r="V107" s="229"/>
      <c r="W107" s="229"/>
      <c r="X107" s="229"/>
      <c r="Y107" s="245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229"/>
      <c r="AP107" s="229"/>
    </row>
    <row r="108" spans="22:42" ht="14.1" hidden="1" customHeight="1">
      <c r="V108" s="229"/>
      <c r="W108" s="229"/>
      <c r="X108" s="229"/>
      <c r="Y108" s="245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229"/>
      <c r="AO108" s="229"/>
      <c r="AP108" s="229"/>
    </row>
    <row r="109" spans="22:42" ht="14.1" hidden="1" customHeight="1">
      <c r="V109" s="229"/>
      <c r="W109" s="229"/>
      <c r="X109" s="229"/>
      <c r="Y109" s="245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  <c r="AJ109" s="229"/>
      <c r="AK109" s="229"/>
      <c r="AL109" s="229"/>
      <c r="AM109" s="229"/>
      <c r="AN109" s="229"/>
      <c r="AO109" s="229"/>
      <c r="AP109" s="229"/>
    </row>
    <row r="110" spans="22:42" ht="14.1" hidden="1" customHeight="1">
      <c r="V110" s="229"/>
      <c r="W110" s="229"/>
      <c r="X110" s="229"/>
      <c r="Y110" s="245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229"/>
      <c r="AK110" s="229"/>
      <c r="AL110" s="229"/>
      <c r="AM110" s="229"/>
      <c r="AN110" s="229"/>
      <c r="AO110" s="229"/>
      <c r="AP110" s="229"/>
    </row>
    <row r="111" spans="22:42" ht="14.1" hidden="1" customHeight="1">
      <c r="V111" s="229"/>
      <c r="W111" s="229"/>
      <c r="X111" s="229"/>
      <c r="Y111" s="245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</row>
    <row r="112" spans="22:42" ht="14.1" hidden="1" customHeight="1">
      <c r="V112" s="229"/>
      <c r="W112" s="229"/>
      <c r="X112" s="229"/>
      <c r="Y112" s="245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</row>
    <row r="113" spans="22:42" ht="14.1" hidden="1" customHeight="1">
      <c r="V113" s="229"/>
      <c r="W113" s="229"/>
      <c r="X113" s="229"/>
      <c r="Y113" s="245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  <c r="AJ113" s="229"/>
      <c r="AK113" s="229"/>
      <c r="AL113" s="229"/>
      <c r="AM113" s="229"/>
      <c r="AN113" s="229"/>
      <c r="AO113" s="229"/>
      <c r="AP113" s="229"/>
    </row>
    <row r="114" spans="22:42" ht="14.1" hidden="1" customHeight="1">
      <c r="V114" s="229"/>
      <c r="W114" s="229"/>
      <c r="X114" s="229"/>
      <c r="Y114" s="245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</row>
    <row r="115" spans="22:42" ht="14.1" hidden="1" customHeight="1">
      <c r="V115" s="229"/>
      <c r="W115" s="229"/>
      <c r="X115" s="229"/>
      <c r="Y115" s="245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  <c r="AM115" s="229"/>
      <c r="AN115" s="229"/>
      <c r="AO115" s="229"/>
      <c r="AP115" s="229"/>
    </row>
    <row r="116" spans="22:42" ht="14.1" hidden="1" customHeight="1">
      <c r="V116" s="229"/>
      <c r="W116" s="229"/>
      <c r="X116" s="229"/>
      <c r="Y116" s="245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29"/>
      <c r="AM116" s="229"/>
      <c r="AN116" s="229"/>
      <c r="AO116" s="229"/>
      <c r="AP116" s="229"/>
    </row>
    <row r="117" spans="22:42" ht="14.1" hidden="1" customHeight="1">
      <c r="V117" s="229"/>
      <c r="W117" s="229"/>
      <c r="X117" s="229"/>
      <c r="Y117" s="245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</row>
    <row r="118" spans="22:42" ht="14.1" hidden="1" customHeight="1">
      <c r="V118" s="229"/>
      <c r="W118" s="229"/>
      <c r="X118" s="229"/>
      <c r="Y118" s="245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  <c r="AJ118" s="229"/>
      <c r="AK118" s="229"/>
      <c r="AL118" s="229"/>
      <c r="AM118" s="229"/>
      <c r="AN118" s="229"/>
      <c r="AO118" s="229"/>
      <c r="AP118" s="229"/>
    </row>
    <row r="119" spans="22:42" ht="14.1" hidden="1" customHeight="1">
      <c r="V119" s="229"/>
      <c r="W119" s="229"/>
      <c r="X119" s="229"/>
      <c r="Y119" s="245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29"/>
      <c r="AK119" s="229"/>
      <c r="AL119" s="229"/>
      <c r="AM119" s="229"/>
      <c r="AN119" s="229"/>
      <c r="AO119" s="229"/>
      <c r="AP119" s="229"/>
    </row>
    <row r="120" spans="22:42" ht="14.1" hidden="1" customHeight="1"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  <c r="AJ120" s="229"/>
      <c r="AK120" s="229"/>
      <c r="AL120" s="229"/>
      <c r="AM120" s="229"/>
      <c r="AN120" s="229"/>
      <c r="AO120" s="229"/>
      <c r="AP120" s="229"/>
    </row>
    <row r="121" spans="22:42" ht="14.1" hidden="1" customHeight="1"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</row>
    <row r="122" spans="22:42" ht="14.1" hidden="1" customHeight="1"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  <c r="AJ122" s="229"/>
      <c r="AK122" s="229"/>
      <c r="AL122" s="229"/>
      <c r="AM122" s="229"/>
      <c r="AN122" s="229"/>
      <c r="AO122" s="229"/>
      <c r="AP122" s="229"/>
    </row>
    <row r="123" spans="22:42" ht="14.1" hidden="1" customHeight="1"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</row>
    <row r="124" spans="22:42" ht="14.1" hidden="1" customHeight="1"/>
    <row r="125" spans="22:42" ht="14.1" hidden="1" customHeight="1"/>
    <row r="126" spans="22:42" ht="14.1" hidden="1" customHeight="1"/>
    <row r="127" spans="22:42" ht="14.1" hidden="1" customHeight="1"/>
    <row r="128" spans="22:42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</sheetData>
  <sheetProtection sheet="1" objects="1" scenarios="1"/>
  <phoneticPr fontId="0" type="noConversion"/>
  <conditionalFormatting sqref="G6:G19 D2:D5 O30:P56 Q2:R56 D7:D60 L30:M56 N2:N56 P2 K6:K56 O2:O3 F30:G56 H6:H56 I6:J18 E2:E56 G2:M5 B2:C57 I30:J56 L6:M18 F2:F14 F16:F19">
    <cfRule type="expression" dxfId="279" priority="1" stopIfTrue="1">
      <formula>IF($T$6&gt;0,TRUE,FALSE)</formula>
    </cfRule>
  </conditionalFormatting>
  <conditionalFormatting sqref="D6">
    <cfRule type="expression" dxfId="278" priority="2" stopIfTrue="1">
      <formula>IF($T$6&gt;0,TRUE,FALSE)</formula>
    </cfRule>
  </conditionalFormatting>
  <conditionalFormatting sqref="O29:P29 O4:O27 P5:P27">
    <cfRule type="expression" dxfId="277" priority="3" stopIfTrue="1">
      <formula>IF($T$6&gt;0,TRUE,FALSE)</formula>
    </cfRule>
    <cfRule type="expression" dxfId="276" priority="4" stopIfTrue="1">
      <formula>IF($V$11&lt;&gt;"AUTO",TRUE,FALSE)</formula>
    </cfRule>
  </conditionalFormatting>
  <conditionalFormatting sqref="L23:M23">
    <cfRule type="expression" dxfId="275" priority="5" stopIfTrue="1">
      <formula>IF($T$6&gt;0,TRUE,IF($V$7=1,TRUE,FALSE))</formula>
    </cfRule>
    <cfRule type="expression" dxfId="274" priority="6" stopIfTrue="1">
      <formula>IF($L23=0,TRUE,FALSE)</formula>
    </cfRule>
  </conditionalFormatting>
  <conditionalFormatting sqref="I23:J23">
    <cfRule type="expression" dxfId="273" priority="7" stopIfTrue="1">
      <formula>IF($T$6&gt;0,TRUE,FALSE)</formula>
    </cfRule>
    <cfRule type="expression" dxfId="272" priority="8" stopIfTrue="1">
      <formula>IF($I23=0,TRUE,FALSE)</formula>
    </cfRule>
  </conditionalFormatting>
  <conditionalFormatting sqref="O28:P28">
    <cfRule type="expression" dxfId="271" priority="9" stopIfTrue="1">
      <formula>IF($T$6&gt;0,TRUE,FALSE)</formula>
    </cfRule>
    <cfRule type="expression" dxfId="270" priority="10" stopIfTrue="1">
      <formula>IF($V$11&lt;&gt;"AUTO",TRUE,FALSE)</formula>
    </cfRule>
  </conditionalFormatting>
  <conditionalFormatting sqref="P3">
    <cfRule type="expression" dxfId="269" priority="11" stopIfTrue="1">
      <formula>IF($T$6&gt;0,TRUE,FALSE)</formula>
    </cfRule>
  </conditionalFormatting>
  <conditionalFormatting sqref="P4">
    <cfRule type="expression" dxfId="268" priority="12" stopIfTrue="1">
      <formula>IF($T$6&gt;0,TRUE,FALSE)</formula>
    </cfRule>
    <cfRule type="expression" dxfId="267" priority="13" stopIfTrue="1">
      <formula>IF($V$11&lt;&gt;"AUTO",TRUE,FALSE)</formula>
    </cfRule>
  </conditionalFormatting>
  <conditionalFormatting sqref="Q57:R61 A58:B61">
    <cfRule type="expression" dxfId="266" priority="14" stopIfTrue="1">
      <formula>IF($T$6&gt;0,TRUE,FALSE)</formula>
    </cfRule>
  </conditionalFormatting>
  <conditionalFormatting sqref="A62:R63">
    <cfRule type="expression" dxfId="265" priority="15" stopIfTrue="1">
      <formula>IF($T$6&gt;0,TRUE,FALSE)</formula>
    </cfRule>
  </conditionalFormatting>
  <conditionalFormatting sqref="F15">
    <cfRule type="expression" dxfId="264" priority="16" stopIfTrue="1">
      <formula>IF($T$6&gt;0,TRUE,FALSE)</formula>
    </cfRule>
  </conditionalFormatting>
  <conditionalFormatting sqref="L24:M24 I24:J24">
    <cfRule type="expression" dxfId="263" priority="17" stopIfTrue="1">
      <formula>IF($T$6&gt;0,TRUE,IF($V$7=1,TRUE,FALSE))</formula>
    </cfRule>
  </conditionalFormatting>
  <conditionalFormatting sqref="M25:M26 F21:G23 F25:G29">
    <cfRule type="expression" dxfId="262" priority="18" stopIfTrue="1">
      <formula>IF($T$6&gt;0,TRUE,FALSE)</formula>
    </cfRule>
  </conditionalFormatting>
  <conditionalFormatting sqref="L21">
    <cfRule type="expression" dxfId="261" priority="19" stopIfTrue="1">
      <formula>IF($T$6&gt;0,TRUE,FALSE)</formula>
    </cfRule>
    <cfRule type="expression" dxfId="260" priority="20" stopIfTrue="1">
      <formula>IF(AND(V7=1,V16=1),TRUE,FALSE)</formula>
    </cfRule>
  </conditionalFormatting>
  <conditionalFormatting sqref="M21">
    <cfRule type="expression" dxfId="259" priority="21" stopIfTrue="1">
      <formula>IF($T$6&gt;0,TRUE,FALSE)</formula>
    </cfRule>
    <cfRule type="expression" dxfId="258" priority="22" stopIfTrue="1">
      <formula>IF(AND(V7=1,V16=1),TRUE,FALSE)</formula>
    </cfRule>
  </conditionalFormatting>
  <conditionalFormatting sqref="M20">
    <cfRule type="expression" dxfId="257" priority="23" stopIfTrue="1">
      <formula>IF($T$6&gt;0,TRUE,FALSE)</formula>
    </cfRule>
    <cfRule type="expression" dxfId="256" priority="24" stopIfTrue="1">
      <formula>IF(V7=1,TRUE,FALSE)</formula>
    </cfRule>
  </conditionalFormatting>
  <conditionalFormatting sqref="L20">
    <cfRule type="expression" dxfId="255" priority="25" stopIfTrue="1">
      <formula>IF($T$6&gt;0,TRUE,FALSE)</formula>
    </cfRule>
    <cfRule type="expression" dxfId="254" priority="26" stopIfTrue="1">
      <formula>IF(V7=1,TRUE,FALSE)</formula>
    </cfRule>
  </conditionalFormatting>
  <conditionalFormatting sqref="L19">
    <cfRule type="expression" dxfId="253" priority="27" stopIfTrue="1">
      <formula>IF($T$6&gt;0,TRUE,FALSE)</formula>
    </cfRule>
    <cfRule type="expression" dxfId="252" priority="28" stopIfTrue="1">
      <formula>IF(AND(V7=1,V16=1),TRUE,FALSE)</formula>
    </cfRule>
  </conditionalFormatting>
  <conditionalFormatting sqref="M19">
    <cfRule type="expression" dxfId="251" priority="29" stopIfTrue="1">
      <formula>IF($T$6&gt;0,TRUE,FALSE)</formula>
    </cfRule>
    <cfRule type="expression" dxfId="250" priority="30" stopIfTrue="1">
      <formula>IF(AND(V7=1,V16=1),TRUE,FALSE)</formula>
    </cfRule>
  </conditionalFormatting>
  <conditionalFormatting sqref="I20">
    <cfRule type="expression" dxfId="249" priority="31" stopIfTrue="1">
      <formula>IF($T$6&gt;0,TRUE,FALSE)</formula>
    </cfRule>
    <cfRule type="expression" dxfId="248" priority="32" stopIfTrue="1">
      <formula>IF(V7=1,TRUE,FALSE)</formula>
    </cfRule>
  </conditionalFormatting>
  <conditionalFormatting sqref="J20">
    <cfRule type="expression" dxfId="247" priority="33" stopIfTrue="1">
      <formula>IF($T$6&gt;0,TRUE,FALSE)</formula>
    </cfRule>
    <cfRule type="expression" dxfId="246" priority="34" stopIfTrue="1">
      <formula>IF(V7=1,TRUE,FALSE)</formula>
    </cfRule>
  </conditionalFormatting>
  <conditionalFormatting sqref="I19">
    <cfRule type="expression" dxfId="245" priority="35" stopIfTrue="1">
      <formula>IF($T$6&gt;0,TRUE,FALSE)</formula>
    </cfRule>
    <cfRule type="expression" dxfId="244" priority="36" stopIfTrue="1">
      <formula>IF(AND(V7=1,V16="3D"),TRUE,FALSE)</formula>
    </cfRule>
  </conditionalFormatting>
  <conditionalFormatting sqref="J19">
    <cfRule type="expression" dxfId="243" priority="37" stopIfTrue="1">
      <formula>IF($T$6&gt;0,TRUE,FALSE)</formula>
    </cfRule>
    <cfRule type="expression" dxfId="242" priority="38" stopIfTrue="1">
      <formula>IF(AND(V7=1,V16="3D"),TRUE,FALSE)</formula>
    </cfRule>
  </conditionalFormatting>
  <conditionalFormatting sqref="L22">
    <cfRule type="expression" dxfId="241" priority="39" stopIfTrue="1">
      <formula>IF($T$6&gt;0,TRUE,FALSE)</formula>
    </cfRule>
    <cfRule type="expression" dxfId="240" priority="40" stopIfTrue="1">
      <formula>IF(AND(V7=1,V16=1),TRUE,FALSE)</formula>
    </cfRule>
  </conditionalFormatting>
  <conditionalFormatting sqref="M22">
    <cfRule type="expression" dxfId="239" priority="41" stopIfTrue="1">
      <formula>IF($T$6&gt;0,TRUE,FALSE)</formula>
    </cfRule>
    <cfRule type="expression" dxfId="238" priority="42" stopIfTrue="1">
      <formula>IF(AND(V7=1,V16=1),TRUE,FALSE)</formula>
    </cfRule>
  </conditionalFormatting>
  <conditionalFormatting sqref="I21">
    <cfRule type="expression" dxfId="237" priority="43" stopIfTrue="1">
      <formula>IF($T$6&gt;0,TRUE,FALSE)</formula>
    </cfRule>
    <cfRule type="expression" dxfId="236" priority="44" stopIfTrue="1">
      <formula>IF(AND(V7=1,V16="3D"),TRUE,FALSE)</formula>
    </cfRule>
  </conditionalFormatting>
  <conditionalFormatting sqref="I22">
    <cfRule type="expression" dxfId="235" priority="45" stopIfTrue="1">
      <formula>IF($T$6&gt;0,TRUE,FALSE)</formula>
    </cfRule>
    <cfRule type="expression" dxfId="234" priority="46" stopIfTrue="1">
      <formula>IF(AND(V7=1,V16="3D"),TRUE,FALSE)</formula>
    </cfRule>
  </conditionalFormatting>
  <conditionalFormatting sqref="J21">
    <cfRule type="expression" dxfId="233" priority="47" stopIfTrue="1">
      <formula>IF($T$6&gt;0,TRUE,FALSE)</formula>
    </cfRule>
    <cfRule type="expression" dxfId="232" priority="48" stopIfTrue="1">
      <formula>IF(AND(V7=1,V16="3D"),TRUE,FALSE)</formula>
    </cfRule>
  </conditionalFormatting>
  <conditionalFormatting sqref="J22">
    <cfRule type="expression" dxfId="231" priority="49" stopIfTrue="1">
      <formula>IF($T$6&gt;0,TRUE,FALSE)</formula>
    </cfRule>
    <cfRule type="expression" dxfId="230" priority="50" stopIfTrue="1">
      <formula>IF(AND(V7=1,V16="3D"),TRUE,FALSE)</formula>
    </cfRule>
  </conditionalFormatting>
  <conditionalFormatting sqref="L25">
    <cfRule type="expression" dxfId="229" priority="51" stopIfTrue="1">
      <formula>IF($T$6&gt;0,TRUE,FALSE)</formula>
    </cfRule>
    <cfRule type="expression" dxfId="228" priority="52" stopIfTrue="1">
      <formula>IF(AND(V7=1,V16=1),TRUE,FALSE)</formula>
    </cfRule>
  </conditionalFormatting>
  <conditionalFormatting sqref="L26">
    <cfRule type="expression" dxfId="227" priority="53" stopIfTrue="1">
      <formula>IF($T$6&gt;0,TRUE,FALSE)</formula>
    </cfRule>
    <cfRule type="expression" dxfId="226" priority="54" stopIfTrue="1">
      <formula>IF(AND(V7=1,V16=1),TRUE,FALSE)</formula>
    </cfRule>
  </conditionalFormatting>
  <conditionalFormatting sqref="L27">
    <cfRule type="expression" dxfId="225" priority="55" stopIfTrue="1">
      <formula>IF($T$6&gt;0,TRUE,FALSE)</formula>
    </cfRule>
    <cfRule type="expression" dxfId="224" priority="56" stopIfTrue="1">
      <formula>IF(AND(V7=1,V16=1),TRUE,FALSE)</formula>
    </cfRule>
  </conditionalFormatting>
  <conditionalFormatting sqref="M27">
    <cfRule type="expression" dxfId="223" priority="57" stopIfTrue="1">
      <formula>IF($T$6&gt;0,TRUE,FALSE)</formula>
    </cfRule>
    <cfRule type="expression" dxfId="222" priority="58" stopIfTrue="1">
      <formula>IF(AND(V7=1,V16=1),TRUE,FALSE)</formula>
    </cfRule>
  </conditionalFormatting>
  <conditionalFormatting sqref="L28">
    <cfRule type="expression" dxfId="221" priority="59" stopIfTrue="1">
      <formula>IF($T$6&gt;0,TRUE,FALSE)</formula>
    </cfRule>
    <cfRule type="expression" dxfId="220" priority="60" stopIfTrue="1">
      <formula>IF(AND(V7=1,V16=1),TRUE,FALSE)</formula>
    </cfRule>
  </conditionalFormatting>
  <conditionalFormatting sqref="M28">
    <cfRule type="expression" dxfId="219" priority="61" stopIfTrue="1">
      <formula>IF($T$6&gt;0,TRUE,FALSE)</formula>
    </cfRule>
    <cfRule type="expression" dxfId="218" priority="62" stopIfTrue="1">
      <formula>IF(AND(V7=1,V16=1),TRUE,FALSE)</formula>
    </cfRule>
  </conditionalFormatting>
  <conditionalFormatting sqref="L29">
    <cfRule type="expression" dxfId="217" priority="63" stopIfTrue="1">
      <formula>IF($T$6&gt;0,TRUE,FALSE)</formula>
    </cfRule>
    <cfRule type="expression" dxfId="216" priority="64" stopIfTrue="1">
      <formula>IF(AND(V7=1,V16=1),TRUE,FALSE)</formula>
    </cfRule>
  </conditionalFormatting>
  <conditionalFormatting sqref="M29">
    <cfRule type="expression" dxfId="215" priority="65" stopIfTrue="1">
      <formula>IF($T$6&gt;0,TRUE,FALSE)</formula>
    </cfRule>
    <cfRule type="expression" dxfId="214" priority="66" stopIfTrue="1">
      <formula>IF(AND(V7=1,V16=1),TRUE,FALSE)</formula>
    </cfRule>
  </conditionalFormatting>
  <conditionalFormatting sqref="I25:I29">
    <cfRule type="expression" dxfId="213" priority="67" stopIfTrue="1">
      <formula>IF($T$6&gt;0,TRUE,FALSE)</formula>
    </cfRule>
    <cfRule type="expression" dxfId="212" priority="68" stopIfTrue="1">
      <formula>IF(AND(V$7=1,V$16="3D"),TRUE,FALSE)</formula>
    </cfRule>
  </conditionalFormatting>
  <conditionalFormatting sqref="J25:J29">
    <cfRule type="expression" dxfId="211" priority="69" stopIfTrue="1">
      <formula>IF($T$6&gt;0,TRUE,FALSE)</formula>
    </cfRule>
    <cfRule type="expression" dxfId="210" priority="70" stopIfTrue="1">
      <formula>IF(AND(V$7=1,V$16="3D"),TRUE,FALSE)</formula>
    </cfRule>
  </conditionalFormatting>
  <conditionalFormatting sqref="F20">
    <cfRule type="expression" dxfId="209" priority="71" stopIfTrue="1">
      <formula>IF($T$6&gt;0,TRUE,FALSE)</formula>
    </cfRule>
    <cfRule type="expression" dxfId="208" priority="72" stopIfTrue="1">
      <formula>IF(V7=1,TRUE,FALSE)</formula>
    </cfRule>
  </conditionalFormatting>
  <conditionalFormatting sqref="G20">
    <cfRule type="expression" dxfId="207" priority="73" stopIfTrue="1">
      <formula>IF($T$6&gt;0,TRUE,FALSE)</formula>
    </cfRule>
    <cfRule type="expression" dxfId="206" priority="74" stopIfTrue="1">
      <formula>IF(V7=1,TRUE,FALSE)</formula>
    </cfRule>
  </conditionalFormatting>
  <conditionalFormatting sqref="F24">
    <cfRule type="expression" dxfId="205" priority="75" stopIfTrue="1">
      <formula>IF($T$6&gt;0,TRUE,FALSE)</formula>
    </cfRule>
    <cfRule type="expression" dxfId="204" priority="76" stopIfTrue="1">
      <formula>IF(V7=1,TRUE,FALSE)</formula>
    </cfRule>
  </conditionalFormatting>
  <conditionalFormatting sqref="G24">
    <cfRule type="expression" dxfId="203" priority="77" stopIfTrue="1">
      <formula>IF($T$6&gt;0,TRUE,FALSE)</formula>
    </cfRule>
    <cfRule type="expression" dxfId="202" priority="78" stopIfTrue="1">
      <formula>IF(V7=1,TRUE,FALSE)</formula>
    </cfRule>
  </conditionalFormatting>
  <pageMargins left="0.5" right="0" top="0.5" bottom="0" header="0" footer="0"/>
  <pageSetup scale="8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100"/>
  <sheetViews>
    <sheetView topLeftCell="Z21" workbookViewId="0">
      <selection activeCell="AA21" sqref="A1:IV65536"/>
    </sheetView>
  </sheetViews>
  <sheetFormatPr defaultColWidth="10.6640625" defaultRowHeight="11.25"/>
  <cols>
    <col min="1" max="23" width="10.6640625" style="221" customWidth="1"/>
    <col min="24" max="26" width="10.6640625" style="1" customWidth="1"/>
    <col min="27" max="27" width="16.5" style="1" customWidth="1"/>
    <col min="28" max="28" width="22" style="24" customWidth="1"/>
    <col min="29" max="29" width="20.33203125" style="1" customWidth="1"/>
    <col min="30" max="30" width="12.5" style="1" customWidth="1"/>
    <col min="31" max="31" width="19.1640625" style="1" customWidth="1"/>
    <col min="32" max="32" width="15.1640625" style="1" customWidth="1"/>
    <col min="33" max="34" width="12.5" style="1" customWidth="1"/>
    <col min="35" max="47" width="10.6640625" style="1" customWidth="1"/>
    <col min="48" max="16384" width="10.6640625" style="221"/>
  </cols>
  <sheetData>
    <row r="1" spans="1:29">
      <c r="A1" s="1"/>
      <c r="B1" s="1"/>
      <c r="C1" s="24" t="s">
        <v>480</v>
      </c>
      <c r="D1" s="22"/>
      <c r="E1" s="194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  <c r="W1" s="1"/>
    </row>
    <row r="2" spans="1:29">
      <c r="A2" s="1"/>
      <c r="B2" s="1"/>
      <c r="C2" s="22"/>
      <c r="D2" s="22"/>
      <c r="E2" s="194"/>
      <c r="F2" s="22"/>
      <c r="G2" s="22"/>
      <c r="H2" s="22"/>
      <c r="I2" s="22"/>
      <c r="J2" s="22"/>
      <c r="K2" s="22"/>
      <c r="L2" s="22"/>
      <c r="M2" s="22"/>
      <c r="N2" s="22"/>
      <c r="O2" s="22"/>
      <c r="P2" s="1"/>
      <c r="Q2" s="1"/>
      <c r="R2" s="1"/>
      <c r="S2" s="1"/>
      <c r="T2" s="1"/>
      <c r="U2" s="1"/>
      <c r="V2" s="1"/>
      <c r="W2" s="1"/>
    </row>
    <row r="3" spans="1:29">
      <c r="A3" s="1"/>
      <c r="B3" s="1"/>
      <c r="C3" s="24"/>
      <c r="D3" s="91" t="s">
        <v>295</v>
      </c>
      <c r="E3" s="194"/>
      <c r="F3" s="24"/>
      <c r="G3" s="24" t="s">
        <v>296</v>
      </c>
      <c r="H3" s="32">
        <f>'Output-Input'!C12</f>
        <v>28875</v>
      </c>
      <c r="I3" s="24" t="s">
        <v>297</v>
      </c>
      <c r="J3" s="195">
        <v>1</v>
      </c>
      <c r="K3" s="22" t="s">
        <v>267</v>
      </c>
      <c r="L3" s="293">
        <f>Calcs!BM27</f>
        <v>0</v>
      </c>
      <c r="M3" s="22" t="s">
        <v>268</v>
      </c>
      <c r="N3" s="31">
        <f>((H3*J3)+L3)</f>
        <v>28875</v>
      </c>
      <c r="O3" s="24" t="s">
        <v>298</v>
      </c>
      <c r="P3" s="1"/>
      <c r="Q3" s="1"/>
      <c r="R3" s="1"/>
      <c r="S3" s="1"/>
      <c r="T3" s="1"/>
      <c r="U3" s="1"/>
      <c r="V3" s="1"/>
      <c r="W3" s="1"/>
    </row>
    <row r="4" spans="1:29">
      <c r="A4" s="1"/>
      <c r="B4" s="1"/>
      <c r="C4" s="29"/>
      <c r="D4" s="91" t="s">
        <v>295</v>
      </c>
      <c r="E4" s="196"/>
      <c r="F4" s="27"/>
      <c r="G4" s="24" t="s">
        <v>296</v>
      </c>
      <c r="H4" s="26" t="str">
        <f>TEXT(H3, "#,##0")</f>
        <v>28,875</v>
      </c>
      <c r="I4" s="24" t="s">
        <v>367</v>
      </c>
      <c r="J4" s="26" t="str">
        <f>TEXT(J3, "0.00")</f>
        <v>1.00</v>
      </c>
      <c r="K4" s="22" t="s">
        <v>267</v>
      </c>
      <c r="L4" s="26" t="str">
        <f>TEXT(L3, "#,##0")</f>
        <v>0</v>
      </c>
      <c r="M4" s="22" t="s">
        <v>268</v>
      </c>
      <c r="N4" s="26" t="str">
        <f>TEXT(N3, "#,##0")</f>
        <v>28,875</v>
      </c>
      <c r="O4" s="24" t="s">
        <v>298</v>
      </c>
      <c r="P4" s="1"/>
      <c r="Q4" s="1"/>
      <c r="R4" s="1"/>
      <c r="S4" s="1" t="str">
        <f>CONCATENATE(D4,G4,H4,I4,J4,K4,L4,M4,N4,O4)</f>
        <v>Available Fault Current at Starting Point  (( 28,875 AFC X 1.00 UA ) + 0 MC ) = 28,875 AFC</v>
      </c>
      <c r="T4" s="1"/>
      <c r="U4" s="1"/>
      <c r="V4" s="1"/>
      <c r="W4" s="1"/>
    </row>
    <row r="5" spans="1:29">
      <c r="A5" s="1"/>
      <c r="B5" s="1"/>
      <c r="C5" s="27"/>
      <c r="D5" s="26"/>
      <c r="E5" s="197"/>
      <c r="F5" s="28"/>
      <c r="G5" s="27"/>
      <c r="H5" s="26"/>
      <c r="I5" s="26"/>
      <c r="J5" s="198"/>
      <c r="K5" s="199"/>
      <c r="L5" s="26"/>
      <c r="M5" s="91"/>
      <c r="N5" s="91"/>
      <c r="O5" s="29"/>
      <c r="P5" s="1" t="str">
        <f>CONCATENATE(N4,O4)</f>
        <v>28,875 AFC</v>
      </c>
      <c r="Q5" s="1"/>
      <c r="R5" s="1"/>
      <c r="S5" s="1"/>
      <c r="T5" s="1"/>
      <c r="U5" s="1"/>
      <c r="V5" s="1"/>
      <c r="W5" s="1"/>
    </row>
    <row r="6" spans="1:29">
      <c r="A6" s="1"/>
      <c r="B6" s="221" t="s">
        <v>301</v>
      </c>
      <c r="C6" s="226" t="str">
        <f>CONCATENATE(G6,H6,I6)</f>
        <v xml:space="preserve"> &lt; 28,875 AFC</v>
      </c>
      <c r="E6" s="197"/>
      <c r="F6" s="26"/>
      <c r="G6" s="27" t="s">
        <v>303</v>
      </c>
      <c r="H6" s="26" t="str">
        <f>H22</f>
        <v>28,875</v>
      </c>
      <c r="I6" s="26" t="s">
        <v>298</v>
      </c>
      <c r="J6" s="198"/>
      <c r="K6" s="199"/>
      <c r="L6" s="26"/>
      <c r="M6" s="91"/>
      <c r="N6" s="91"/>
      <c r="O6" s="29"/>
      <c r="P6" s="1"/>
      <c r="Q6" s="1"/>
      <c r="R6" s="1"/>
      <c r="S6" s="1"/>
      <c r="T6" s="1"/>
      <c r="U6" s="1"/>
      <c r="V6" s="1"/>
      <c r="W6" s="1"/>
    </row>
    <row r="7" spans="1:29">
      <c r="C7" s="226"/>
      <c r="J7" s="221">
        <f>IF(Input!O4=0.75,",3/4''",IF(Input!O4=1,"1''",IF(Input!O4=1.25,"1 1/4''",IF(Input!O4=1.5,"1 1/2''",IF(Input!O4=2, "2''",IF(Input!O4=2.5,"2 1/2''",IF(Input!O4=3,"3''",IF(Input!O4=3.5,"3/12''",0))))))))</f>
        <v>0</v>
      </c>
      <c r="P7" s="221">
        <v>0.75</v>
      </c>
      <c r="Q7" s="221" t="s">
        <v>309</v>
      </c>
    </row>
    <row r="8" spans="1:29">
      <c r="C8" s="226" t="str">
        <f>CONCATENATE(G8,H8,I8,I8,J8)</f>
        <v xml:space="preserve"> &lt; 10' ' LENGTH</v>
      </c>
      <c r="G8" s="27" t="s">
        <v>303</v>
      </c>
      <c r="H8" s="221">
        <f>Input!H16</f>
        <v>10</v>
      </c>
      <c r="I8" s="224" t="s">
        <v>305</v>
      </c>
      <c r="J8" s="221" t="s">
        <v>306</v>
      </c>
      <c r="P8" s="221">
        <v>1</v>
      </c>
      <c r="Q8" s="221" t="s">
        <v>310</v>
      </c>
      <c r="AC8" s="1" t="str">
        <f>Input!H9</f>
        <v>CONDUIT</v>
      </c>
    </row>
    <row r="9" spans="1:29">
      <c r="C9" s="226" t="str">
        <f>CONCATENATE(G9,H9,I9,J9,K9,L9)</f>
        <v xml:space="preserve">     - 0 0</v>
      </c>
      <c r="G9" s="27" t="s">
        <v>307</v>
      </c>
      <c r="H9" s="223"/>
      <c r="I9" s="221" t="s">
        <v>304</v>
      </c>
      <c r="J9" s="227">
        <f>IF(Input!O4=0.75,",3/4''",IF(Input!O4=1,"1''",IF(Input!O4=1.25,"1 1/4''",IF(Input!O4=1.5,"1 1/2''",IF(Input!O4=2, "2''",IF(Input!O4=2.5,"2 1/2''",IF(Input!O4=3,"3''",IF(Input!O4=3.5,"3/12''",0))))))))</f>
        <v>0</v>
      </c>
      <c r="K9" s="221" t="s">
        <v>12</v>
      </c>
      <c r="L9" s="221">
        <f>Input!O5</f>
        <v>0</v>
      </c>
      <c r="P9" s="221">
        <v>1.25</v>
      </c>
      <c r="Q9" s="221" t="s">
        <v>311</v>
      </c>
    </row>
    <row r="10" spans="1:29">
      <c r="C10" s="226" t="str">
        <f>CONCATENATE(G10,H10,I10,J10,K10,L10,M10,N10)</f>
        <v xml:space="preserve">    15,304 - 1 1/4'' #4 #4</v>
      </c>
      <c r="G10" s="27" t="s">
        <v>307</v>
      </c>
      <c r="H10" s="223" t="str">
        <f>Input!O6</f>
        <v>15,304</v>
      </c>
      <c r="I10" s="221" t="s">
        <v>304</v>
      </c>
      <c r="J10" s="221" t="str">
        <f>Input!O9</f>
        <v>1 1/4''</v>
      </c>
      <c r="K10" s="221" t="s">
        <v>12</v>
      </c>
      <c r="L10" s="225" t="str">
        <f>Input!O11</f>
        <v>#4</v>
      </c>
      <c r="M10" s="221" t="s">
        <v>12</v>
      </c>
      <c r="N10" s="225" t="str">
        <f>Input!O12</f>
        <v>#4</v>
      </c>
      <c r="P10" s="221">
        <v>1.5</v>
      </c>
      <c r="Q10" s="221" t="s">
        <v>312</v>
      </c>
      <c r="AB10" s="24" t="s">
        <v>39</v>
      </c>
      <c r="AC10" s="1">
        <f>IF(Input!H$17=AB10,1,0)</f>
        <v>0</v>
      </c>
    </row>
    <row r="11" spans="1:29">
      <c r="C11" s="226" t="str">
        <f>CONCATENATE(G11,H11,I11,J11,K11,L11,M11,N11)</f>
        <v xml:space="preserve">    1 - #4 GROUND</v>
      </c>
      <c r="G11" s="27" t="s">
        <v>307</v>
      </c>
      <c r="H11" s="221">
        <f>IF(Input!H12="Y",1," ")</f>
        <v>1</v>
      </c>
      <c r="I11" s="221" t="str">
        <f>IF(Input!H12="Y"," - "," ")</f>
        <v xml:space="preserve"> - </v>
      </c>
      <c r="J11" s="221" t="str">
        <f>IF(Input!H12="Y",Input!O10," ")</f>
        <v>#4</v>
      </c>
      <c r="K11" s="221" t="str">
        <f>IF(Input!H12="Y"," GROUND"," ")</f>
        <v xml:space="preserve"> GROUND</v>
      </c>
      <c r="P11" s="221">
        <v>2</v>
      </c>
      <c r="Q11" s="221" t="s">
        <v>313</v>
      </c>
      <c r="AB11" s="24" t="s">
        <v>40</v>
      </c>
      <c r="AC11" s="1">
        <f>IF(Input!H$17=AB11,1,0)</f>
        <v>1</v>
      </c>
    </row>
    <row r="12" spans="1:29">
      <c r="C12" s="226"/>
      <c r="P12" s="221">
        <v>2.5</v>
      </c>
      <c r="Q12" s="221" t="s">
        <v>314</v>
      </c>
      <c r="AB12" s="24" t="s">
        <v>41</v>
      </c>
      <c r="AC12" s="1">
        <f>IF(Input!H$17=AB12,1,0)</f>
        <v>0</v>
      </c>
    </row>
    <row r="13" spans="1:29">
      <c r="C13" s="226"/>
      <c r="P13" s="221">
        <v>3</v>
      </c>
      <c r="Q13" s="221" t="s">
        <v>315</v>
      </c>
      <c r="AB13" s="24" t="s">
        <v>42</v>
      </c>
      <c r="AC13" s="1">
        <f>IF(Input!H$17=AB13,1,0)</f>
        <v>0</v>
      </c>
    </row>
    <row r="14" spans="1:29">
      <c r="C14" s="226"/>
      <c r="P14" s="221">
        <v>3.5</v>
      </c>
      <c r="Q14" s="221" t="s">
        <v>316</v>
      </c>
      <c r="AB14" s="24" t="s">
        <v>43</v>
      </c>
      <c r="AC14" s="1">
        <f>IF(Input!H$17=AB14,2,0)</f>
        <v>0</v>
      </c>
    </row>
    <row r="15" spans="1:29">
      <c r="B15" s="221" t="s">
        <v>302</v>
      </c>
      <c r="C15" s="226" t="str">
        <f>CONCATENATE(G15,H15,I15)</f>
        <v xml:space="preserve"> &lt; 15,304 AFC</v>
      </c>
      <c r="G15" s="27" t="s">
        <v>303</v>
      </c>
      <c r="H15" s="225" t="str">
        <f>H30</f>
        <v>15,304</v>
      </c>
      <c r="I15" s="221" t="s">
        <v>298</v>
      </c>
      <c r="P15" s="221">
        <v>4</v>
      </c>
      <c r="Q15" s="221" t="s">
        <v>317</v>
      </c>
      <c r="AB15" s="24" t="s">
        <v>44</v>
      </c>
      <c r="AC15" s="1">
        <f>IF(Input!H$17=AB15,1,0)</f>
        <v>0</v>
      </c>
    </row>
    <row r="16" spans="1:29">
      <c r="AB16" s="24" t="s">
        <v>45</v>
      </c>
      <c r="AC16" s="1">
        <f>IF(Input!H$17=AB16,1,0)</f>
        <v>0</v>
      </c>
    </row>
    <row r="17" spans="1:35">
      <c r="AB17" s="24" t="s">
        <v>46</v>
      </c>
      <c r="AC17" s="1">
        <f>IF(Input!H$17=AB17,1,0)</f>
        <v>0</v>
      </c>
    </row>
    <row r="19" spans="1:35">
      <c r="A19" s="1"/>
      <c r="B19" s="1"/>
      <c r="C19" s="29" t="s">
        <v>269</v>
      </c>
      <c r="D19" s="24"/>
      <c r="E19" s="24"/>
      <c r="F19" s="22"/>
      <c r="G19" s="22"/>
      <c r="H19" s="1"/>
      <c r="I19" s="1"/>
      <c r="J19" s="1"/>
      <c r="K19" s="1"/>
      <c r="L19" s="1"/>
      <c r="M19" s="1"/>
      <c r="N19" s="1"/>
      <c r="O19" s="1"/>
      <c r="P19" s="1"/>
      <c r="AB19" s="24" t="s">
        <v>299</v>
      </c>
      <c r="AC19" s="1">
        <f>IF(AC8="SER",5,IF(AC8="ROMEX",5,IF(AC8="MC",1,SUM(AC10:AC17))))</f>
        <v>1</v>
      </c>
    </row>
    <row r="20" spans="1:35">
      <c r="A20" s="1"/>
      <c r="B20" s="1"/>
      <c r="C20" s="29" t="s">
        <v>264</v>
      </c>
      <c r="D20" s="27"/>
      <c r="E20" s="27"/>
      <c r="F20" s="27"/>
      <c r="G20" s="27"/>
      <c r="H20" s="30"/>
      <c r="I20" s="30"/>
      <c r="J20" s="30"/>
      <c r="K20" s="30"/>
      <c r="L20" s="30"/>
      <c r="M20" s="30"/>
      <c r="N20" s="1"/>
      <c r="O20" s="1"/>
      <c r="P20" s="22"/>
      <c r="AB20" s="24" t="s">
        <v>300</v>
      </c>
      <c r="AC20" s="1">
        <f>IF(Input!H14="CU",0,IF(AND(Input!H14="AL",AC8="SER"),1,IF(AND(Input!H14="AL",AC8="ROMEX"),1,IF(Input!H14="al",2,"ERROR"))))</f>
        <v>2</v>
      </c>
    </row>
    <row r="21" spans="1:35">
      <c r="A21" s="1"/>
      <c r="B21" s="1" t="s">
        <v>270</v>
      </c>
      <c r="C21" s="27" t="s">
        <v>245</v>
      </c>
      <c r="D21" s="201">
        <f>IF(Input!H8=1,2,1.732)</f>
        <v>1.732</v>
      </c>
      <c r="E21" s="202" t="s">
        <v>266</v>
      </c>
      <c r="F21" s="26">
        <f>Input!H16</f>
        <v>10</v>
      </c>
      <c r="G21" s="203" t="s">
        <v>271</v>
      </c>
      <c r="H21" s="28">
        <f>N3</f>
        <v>28875</v>
      </c>
      <c r="I21" s="26" t="s">
        <v>548</v>
      </c>
      <c r="J21" s="28">
        <f>AA55</f>
        <v>2346</v>
      </c>
      <c r="K21" s="204" t="s">
        <v>272</v>
      </c>
      <c r="L21" s="26">
        <f>Input!DA54</f>
        <v>1</v>
      </c>
      <c r="M21" s="205" t="s">
        <v>273</v>
      </c>
      <c r="N21" s="85">
        <f>Input!H6</f>
        <v>240</v>
      </c>
      <c r="O21" s="206" t="s">
        <v>385</v>
      </c>
      <c r="P21" s="207">
        <f>ROUND((D21*F21*H21)/(J21*L21*N21),3)</f>
        <v>0.88800000000000001</v>
      </c>
      <c r="R21" s="209" t="s">
        <v>274</v>
      </c>
      <c r="S21" s="209" t="s">
        <v>275</v>
      </c>
    </row>
    <row r="22" spans="1:35">
      <c r="A22" s="1"/>
      <c r="B22" s="1" t="s">
        <v>270</v>
      </c>
      <c r="C22" s="27" t="s">
        <v>245</v>
      </c>
      <c r="D22" s="26" t="str">
        <f>TEXT(D21, "general")</f>
        <v>1.732</v>
      </c>
      <c r="E22" s="202" t="s">
        <v>257</v>
      </c>
      <c r="F22" s="26" t="str">
        <f>TEXT(F21, "0")</f>
        <v>10</v>
      </c>
      <c r="G22" s="203" t="s">
        <v>368</v>
      </c>
      <c r="H22" s="26" t="str">
        <f>TEXT(H21, "#,##0")</f>
        <v>28,875</v>
      </c>
      <c r="I22" s="208" t="str">
        <f>I21</f>
        <v xml:space="preserve"> AFC  ) ÷ ( </v>
      </c>
      <c r="J22" s="26" t="str">
        <f>TEXT(J21, "#,##0")</f>
        <v>2,346</v>
      </c>
      <c r="K22" s="204" t="s">
        <v>369</v>
      </c>
      <c r="L22" s="26" t="str">
        <f>TEXT(L21, "0")</f>
        <v>1</v>
      </c>
      <c r="M22" s="205" t="s">
        <v>370</v>
      </c>
      <c r="N22" s="26" t="str">
        <f>TEXT(N21, "0")</f>
        <v>240</v>
      </c>
      <c r="O22" s="206" t="s">
        <v>385</v>
      </c>
      <c r="P22" s="26" t="str">
        <f>TEXT(P21, "0.000")</f>
        <v>0.888</v>
      </c>
      <c r="R22" s="209" t="s">
        <v>274</v>
      </c>
      <c r="S22" s="209" t="str">
        <f>CONCATENATE(B22,C22,D22,E22,F22,G22,H22,I22,J22,K22,L22,M22,N22,O22,P22,R22)</f>
        <v>Conductor Factor CF - Formula ( 1.732 X 10 L X 28,875 AFC  ) ÷ ( 2,346 C X 1 N X 240 V ) = 0.888 CF</v>
      </c>
      <c r="AB22" s="24" t="s">
        <v>232</v>
      </c>
      <c r="AC22" s="1">
        <f>SUM(AC19:AC20)</f>
        <v>3</v>
      </c>
    </row>
    <row r="23" spans="1:35">
      <c r="A23" s="1"/>
      <c r="B23" s="1"/>
      <c r="C23" s="27"/>
      <c r="D23" s="202"/>
      <c r="E23" s="202"/>
      <c r="F23" s="203"/>
      <c r="G23" s="203"/>
      <c r="H23" s="208"/>
      <c r="I23" s="208"/>
      <c r="J23" s="204"/>
      <c r="K23" s="204"/>
      <c r="L23" s="205"/>
      <c r="M23" s="205"/>
      <c r="N23" s="206"/>
      <c r="O23" s="206"/>
      <c r="P23" s="209"/>
      <c r="R23" s="209"/>
      <c r="S23" s="209"/>
    </row>
    <row r="24" spans="1:35">
      <c r="A24" s="1"/>
      <c r="B24" s="1"/>
      <c r="C24" s="29" t="s">
        <v>276</v>
      </c>
      <c r="D24" s="27"/>
      <c r="E24" s="27"/>
      <c r="F24" s="27"/>
      <c r="G24" s="27"/>
      <c r="H24" s="30"/>
      <c r="I24" s="30"/>
      <c r="J24" s="27"/>
      <c r="K24" s="30"/>
      <c r="L24" s="30"/>
      <c r="M24" s="30"/>
      <c r="N24" s="1"/>
      <c r="O24" s="1"/>
      <c r="P24" s="1"/>
      <c r="R24" s="1"/>
      <c r="S24" s="1"/>
    </row>
    <row r="25" spans="1:35">
      <c r="A25" s="1"/>
      <c r="B25" s="1" t="s">
        <v>277</v>
      </c>
      <c r="C25" s="22" t="s">
        <v>278</v>
      </c>
      <c r="D25" s="85">
        <v>1</v>
      </c>
      <c r="E25" s="208" t="s">
        <v>265</v>
      </c>
      <c r="F25" s="85">
        <v>1</v>
      </c>
      <c r="G25" s="210" t="s">
        <v>279</v>
      </c>
      <c r="H25" s="207">
        <f>P21</f>
        <v>0.88800000000000001</v>
      </c>
      <c r="I25" s="211" t="s">
        <v>280</v>
      </c>
      <c r="J25" s="207">
        <f>ROUND(D25/(F25+H25),3)</f>
        <v>0.53</v>
      </c>
      <c r="K25" s="212" t="s">
        <v>281</v>
      </c>
      <c r="L25" s="27"/>
      <c r="M25" s="27"/>
      <c r="N25" s="1"/>
      <c r="O25" s="1"/>
      <c r="P25" s="1"/>
      <c r="R25" s="1"/>
      <c r="S25" s="209" t="s">
        <v>275</v>
      </c>
    </row>
    <row r="26" spans="1:35">
      <c r="A26" s="1"/>
      <c r="B26" s="1" t="s">
        <v>277</v>
      </c>
      <c r="C26" s="22" t="s">
        <v>278</v>
      </c>
      <c r="D26" s="26" t="str">
        <f>TEXT(D25, "0")</f>
        <v>1</v>
      </c>
      <c r="E26" s="208" t="s">
        <v>265</v>
      </c>
      <c r="F26" s="26" t="str">
        <f>TEXT(F25, "0")</f>
        <v>1</v>
      </c>
      <c r="G26" s="210" t="s">
        <v>279</v>
      </c>
      <c r="H26" s="26" t="str">
        <f>TEXT(H25, "0.000")</f>
        <v>0.888</v>
      </c>
      <c r="I26" s="211" t="s">
        <v>280</v>
      </c>
      <c r="J26" s="26" t="str">
        <f>TEXT(J25, "0.000")</f>
        <v>0.530</v>
      </c>
      <c r="K26" s="212" t="s">
        <v>281</v>
      </c>
      <c r="L26" s="27"/>
      <c r="M26" s="27"/>
      <c r="N26" s="1"/>
      <c r="O26" s="1"/>
      <c r="P26" s="1"/>
      <c r="R26" s="1"/>
      <c r="S26" s="209" t="str">
        <f>CONCATENATE(B26,C26,D26,E26,F26,G26,H26,I26,J26,K26)</f>
        <v xml:space="preserve">Conductor Multiplier CM - Formula  ( 1 ) ÷ ( 1 + 0.888 CF ) = 0.530 CM </v>
      </c>
    </row>
    <row r="27" spans="1:35">
      <c r="A27" s="1"/>
      <c r="B27" s="1"/>
      <c r="C27" s="22"/>
      <c r="D27" s="213"/>
      <c r="E27" s="213"/>
      <c r="F27" s="210"/>
      <c r="G27" s="210"/>
      <c r="H27" s="211"/>
      <c r="I27" s="211"/>
      <c r="J27" s="212"/>
      <c r="K27" s="212"/>
      <c r="L27" s="27"/>
      <c r="M27" s="27"/>
      <c r="N27" s="1"/>
      <c r="O27" s="1"/>
      <c r="P27" s="1"/>
      <c r="R27" s="1"/>
      <c r="S27" s="1"/>
      <c r="AB27" s="24">
        <f>AC22</f>
        <v>3</v>
      </c>
      <c r="AC27" s="16"/>
    </row>
    <row r="28" spans="1:35">
      <c r="A28" s="1"/>
      <c r="B28" s="1"/>
      <c r="C28" s="24" t="s">
        <v>282</v>
      </c>
      <c r="D28" s="22"/>
      <c r="E28" s="22"/>
      <c r="F28" s="22"/>
      <c r="G28" s="22"/>
      <c r="H28" s="1"/>
      <c r="I28" s="1"/>
      <c r="J28" s="1"/>
      <c r="K28" s="1"/>
      <c r="L28" s="214"/>
      <c r="M28" s="214"/>
      <c r="N28" s="1"/>
      <c r="O28" s="1"/>
      <c r="P28" s="1"/>
      <c r="R28" s="1"/>
      <c r="S28" s="1"/>
    </row>
    <row r="29" spans="1:35">
      <c r="A29" s="1"/>
      <c r="B29" s="1" t="s">
        <v>283</v>
      </c>
      <c r="C29" s="22" t="s">
        <v>245</v>
      </c>
      <c r="D29" s="31">
        <f>H21</f>
        <v>28875</v>
      </c>
      <c r="E29" s="215" t="s">
        <v>367</v>
      </c>
      <c r="F29" s="207">
        <f>J25</f>
        <v>0.53</v>
      </c>
      <c r="G29" s="216" t="s">
        <v>284</v>
      </c>
      <c r="H29" s="31">
        <f>ROUND((D29*F29),3)</f>
        <v>15303.75</v>
      </c>
      <c r="I29" s="217" t="s">
        <v>285</v>
      </c>
      <c r="J29" s="29"/>
      <c r="K29" s="29"/>
      <c r="L29" s="1"/>
      <c r="M29" s="1"/>
      <c r="N29" s="1"/>
      <c r="O29" s="1"/>
      <c r="P29" s="1"/>
      <c r="R29" s="1"/>
      <c r="S29" s="209" t="s">
        <v>275</v>
      </c>
      <c r="AB29" s="24">
        <f>AB27</f>
        <v>3</v>
      </c>
      <c r="AD29" s="1">
        <v>1</v>
      </c>
      <c r="AE29" s="1">
        <v>2</v>
      </c>
      <c r="AF29" s="1">
        <v>3</v>
      </c>
      <c r="AG29" s="1">
        <v>4</v>
      </c>
      <c r="AH29" s="661">
        <v>5</v>
      </c>
      <c r="AI29" s="661">
        <v>6</v>
      </c>
    </row>
    <row r="30" spans="1:35">
      <c r="A30" s="1"/>
      <c r="B30" s="1" t="s">
        <v>283</v>
      </c>
      <c r="C30" s="22" t="s">
        <v>245</v>
      </c>
      <c r="D30" s="26" t="str">
        <f>TEXT(D29, "#,##0")</f>
        <v>28,875</v>
      </c>
      <c r="E30" s="215" t="str">
        <f>E29</f>
        <v xml:space="preserve"> AFC X </v>
      </c>
      <c r="F30" s="26" t="str">
        <f>TEXT(F29, "0.000")</f>
        <v>0.530</v>
      </c>
      <c r="G30" s="216" t="s">
        <v>284</v>
      </c>
      <c r="H30" s="26" t="str">
        <f>TEXT(H29, "#,##0")</f>
        <v>15,304</v>
      </c>
      <c r="I30" s="217" t="s">
        <v>285</v>
      </c>
      <c r="J30" s="29"/>
      <c r="K30" s="29"/>
      <c r="L30" s="1" t="str">
        <f>CONCATENATE(H30,I30)</f>
        <v>15,304 CLC</v>
      </c>
      <c r="M30" s="1"/>
      <c r="N30" s="1"/>
      <c r="O30" s="1"/>
      <c r="P30" s="1"/>
      <c r="R30" s="1"/>
      <c r="S30" s="209" t="str">
        <f>CONCATENATE(B30,C30,D30,E30,F30,G30,H30,I30)</f>
        <v>Conductor Let-Through Current CLC - Formula ( 28,875 AFC X 0.530 CM ) = 15,304 CLC</v>
      </c>
      <c r="AB30" s="24" t="str">
        <f>IF($AB$27=1,AD30,IF($AB$27=2,AE30,IF($AB$27=3,AF30,IF($AB$27=4,AG30,IF($AB$27=5,AH30,IF($AB$27=6,AI30,"ERROR"))))))</f>
        <v>Steel Conduit</v>
      </c>
      <c r="AC30" s="1" t="s">
        <v>286</v>
      </c>
      <c r="AD30" s="16" t="s">
        <v>287</v>
      </c>
      <c r="AE30" s="16" t="s">
        <v>288</v>
      </c>
      <c r="AF30" s="16" t="s">
        <v>287</v>
      </c>
      <c r="AG30" s="16" t="s">
        <v>288</v>
      </c>
      <c r="AH30" s="661" t="s">
        <v>973</v>
      </c>
      <c r="AI30" s="661" t="s">
        <v>973</v>
      </c>
    </row>
    <row r="31" spans="1:35">
      <c r="A31" s="1"/>
      <c r="B31" s="1"/>
      <c r="C31" s="27"/>
      <c r="D31" s="26"/>
      <c r="E31" s="27"/>
      <c r="F31" s="29"/>
      <c r="G31" s="29"/>
      <c r="H31" s="24"/>
      <c r="I31" s="27"/>
      <c r="J31" s="22"/>
      <c r="K31" s="22"/>
      <c r="L31" s="27"/>
      <c r="M31" s="27"/>
      <c r="N31" s="1"/>
      <c r="O31" s="1"/>
      <c r="P31" s="1"/>
      <c r="AB31" s="24" t="str">
        <f t="shared" ref="AB31:AB50" si="0">IF($AB$27=1,AD31,IF($AB$27=2,AE31,IF($AB$27=3,AF31,IF($AB$27=4,AG31,IF($AB$27=5,AH31,IF($AB$27=6,AI31,"ERROR"))))))</f>
        <v>3 or 4 Single</v>
      </c>
      <c r="AD31" s="1" t="s">
        <v>289</v>
      </c>
      <c r="AE31" s="1" t="s">
        <v>289</v>
      </c>
      <c r="AF31" s="1" t="s">
        <v>289</v>
      </c>
      <c r="AG31" s="1" t="s">
        <v>289</v>
      </c>
      <c r="AH31" s="661" t="s">
        <v>968</v>
      </c>
      <c r="AI31" s="661" t="s">
        <v>968</v>
      </c>
    </row>
    <row r="32" spans="1:35">
      <c r="A32" s="1"/>
      <c r="B32" s="1"/>
      <c r="C32" s="27"/>
      <c r="D32" s="214"/>
      <c r="E32" s="218" t="str">
        <f>CONCATENATE(B30,C30,D30,E30,F30,G30,H30,I30)</f>
        <v>Conductor Let-Through Current CLC - Formula ( 28,875 AFC X 0.530 CM ) = 15,304 CLC</v>
      </c>
      <c r="F32" s="36"/>
      <c r="G32" s="36"/>
      <c r="H32" s="28"/>
      <c r="I32" s="28"/>
      <c r="J32" s="22"/>
      <c r="K32" s="22"/>
      <c r="L32" s="27"/>
      <c r="M32" s="27"/>
      <c r="N32" s="1"/>
      <c r="O32" s="1"/>
      <c r="P32" s="1"/>
      <c r="X32" s="1" t="s">
        <v>290</v>
      </c>
      <c r="Y32" s="16" t="str">
        <f>IF(Input!H9&lt;&gt;"CONDUIT",Short!V34,Short!V33)</f>
        <v>#4</v>
      </c>
      <c r="Z32" s="1">
        <f>MATCH(Y32,AC$33:AC$50,0)</f>
        <v>6</v>
      </c>
      <c r="AB32" s="24" t="str">
        <f t="shared" si="0"/>
        <v>Cables AL</v>
      </c>
      <c r="AD32" s="1" t="s">
        <v>291</v>
      </c>
      <c r="AE32" s="1" t="s">
        <v>291</v>
      </c>
      <c r="AF32" s="1" t="s">
        <v>292</v>
      </c>
      <c r="AG32" s="1" t="s">
        <v>292</v>
      </c>
      <c r="AH32" s="661" t="s">
        <v>60</v>
      </c>
      <c r="AI32" s="661" t="s">
        <v>77</v>
      </c>
    </row>
    <row r="33" spans="22:35">
      <c r="V33" s="221" t="str">
        <f>Input!CY54</f>
        <v>#4</v>
      </c>
      <c r="Y33" s="16"/>
      <c r="AA33" s="1">
        <v>1</v>
      </c>
      <c r="AB33" s="24">
        <f t="shared" si="0"/>
        <v>237</v>
      </c>
      <c r="AC33" s="1" t="s">
        <v>293</v>
      </c>
      <c r="AD33" s="1">
        <v>389</v>
      </c>
      <c r="AE33" s="1">
        <v>389</v>
      </c>
      <c r="AF33" s="1">
        <v>237</v>
      </c>
      <c r="AG33" s="1">
        <v>237</v>
      </c>
      <c r="AH33" s="662">
        <v>389</v>
      </c>
      <c r="AI33" s="662">
        <v>237</v>
      </c>
    </row>
    <row r="34" spans="22:35">
      <c r="V34" s="221" t="str">
        <f>'Sec Cable'!J18</f>
        <v>ERROR</v>
      </c>
      <c r="Y34" s="16"/>
      <c r="AA34" s="1">
        <v>2</v>
      </c>
      <c r="AB34" s="24">
        <f t="shared" si="0"/>
        <v>376</v>
      </c>
      <c r="AC34" s="1" t="s">
        <v>294</v>
      </c>
      <c r="AD34" s="1">
        <v>617</v>
      </c>
      <c r="AE34" s="1">
        <v>617</v>
      </c>
      <c r="AF34" s="1">
        <v>376</v>
      </c>
      <c r="AG34" s="1">
        <v>376</v>
      </c>
      <c r="AH34" s="662">
        <v>617</v>
      </c>
      <c r="AI34" s="662">
        <v>376</v>
      </c>
    </row>
    <row r="35" spans="22:35">
      <c r="Y35" s="16"/>
      <c r="AA35" s="1">
        <v>3</v>
      </c>
      <c r="AB35" s="24">
        <f t="shared" si="0"/>
        <v>599</v>
      </c>
      <c r="AC35" s="1" t="s">
        <v>169</v>
      </c>
      <c r="AD35" s="1">
        <v>981</v>
      </c>
      <c r="AE35" s="1">
        <v>982</v>
      </c>
      <c r="AF35" s="1">
        <v>599</v>
      </c>
      <c r="AG35" s="1">
        <v>599</v>
      </c>
      <c r="AH35" s="662">
        <v>982</v>
      </c>
      <c r="AI35" s="662">
        <v>599</v>
      </c>
    </row>
    <row r="36" spans="22:35">
      <c r="Y36" s="16"/>
      <c r="AA36" s="1">
        <v>4</v>
      </c>
      <c r="AB36" s="24">
        <f t="shared" si="0"/>
        <v>951</v>
      </c>
      <c r="AC36" s="1" t="s">
        <v>173</v>
      </c>
      <c r="AD36" s="1">
        <v>1557</v>
      </c>
      <c r="AE36" s="1">
        <v>1559</v>
      </c>
      <c r="AF36" s="1">
        <v>951</v>
      </c>
      <c r="AG36" s="1">
        <v>952</v>
      </c>
      <c r="AH36" s="662">
        <v>1560</v>
      </c>
      <c r="AI36" s="662">
        <v>952</v>
      </c>
    </row>
    <row r="37" spans="22:35">
      <c r="Y37" s="16"/>
      <c r="AA37" s="1">
        <v>5</v>
      </c>
      <c r="AB37" s="24">
        <f t="shared" si="0"/>
        <v>1481</v>
      </c>
      <c r="AC37" s="1" t="s">
        <v>76</v>
      </c>
      <c r="AD37" s="1">
        <v>2425</v>
      </c>
      <c r="AE37" s="1">
        <v>2430</v>
      </c>
      <c r="AF37" s="1">
        <v>1481</v>
      </c>
      <c r="AG37" s="1">
        <v>1482</v>
      </c>
      <c r="AH37" s="662">
        <v>2433</v>
      </c>
      <c r="AI37" s="662">
        <v>1482</v>
      </c>
    </row>
    <row r="38" spans="22:35">
      <c r="Y38" s="16"/>
      <c r="AA38" s="1">
        <v>6</v>
      </c>
      <c r="AB38" s="24">
        <f t="shared" si="0"/>
        <v>2346</v>
      </c>
      <c r="AC38" s="1" t="s">
        <v>80</v>
      </c>
      <c r="AD38" s="1">
        <v>3806</v>
      </c>
      <c r="AE38" s="1">
        <v>3826</v>
      </c>
      <c r="AF38" s="1">
        <v>2346</v>
      </c>
      <c r="AG38" s="1">
        <v>2350</v>
      </c>
      <c r="AH38" s="662">
        <v>3838</v>
      </c>
      <c r="AI38" s="662">
        <v>2353</v>
      </c>
    </row>
    <row r="39" spans="22:35">
      <c r="Y39" s="16"/>
      <c r="AA39" s="1">
        <v>7</v>
      </c>
      <c r="AB39" s="24">
        <f t="shared" si="0"/>
        <v>2952</v>
      </c>
      <c r="AC39" s="1" t="s">
        <v>84</v>
      </c>
      <c r="AD39" s="1">
        <v>4774</v>
      </c>
      <c r="AE39" s="1">
        <v>4811</v>
      </c>
      <c r="AF39" s="1">
        <v>2952</v>
      </c>
      <c r="AG39" s="1">
        <v>2961</v>
      </c>
      <c r="AH39" s="662">
        <v>4833</v>
      </c>
      <c r="AI39" s="662">
        <v>2966</v>
      </c>
    </row>
    <row r="40" spans="22:35">
      <c r="AA40" s="1">
        <v>8</v>
      </c>
      <c r="AB40" s="24">
        <f t="shared" si="0"/>
        <v>3713</v>
      </c>
      <c r="AC40" s="1" t="s">
        <v>83</v>
      </c>
      <c r="AD40" s="1">
        <v>5907</v>
      </c>
      <c r="AE40" s="1">
        <v>6044</v>
      </c>
      <c r="AF40" s="1">
        <v>3713</v>
      </c>
      <c r="AG40" s="1">
        <v>3730</v>
      </c>
      <c r="AH40" s="662">
        <v>6087</v>
      </c>
      <c r="AI40" s="662">
        <v>3740</v>
      </c>
    </row>
    <row r="41" spans="22:35">
      <c r="Z41" s="1">
        <f>Z32</f>
        <v>6</v>
      </c>
      <c r="AA41" s="1">
        <v>9</v>
      </c>
      <c r="AB41" s="24">
        <f t="shared" si="0"/>
        <v>4645</v>
      </c>
      <c r="AC41" s="1" t="s">
        <v>87</v>
      </c>
      <c r="AD41" s="1">
        <v>7293</v>
      </c>
      <c r="AE41" s="1">
        <v>7493</v>
      </c>
      <c r="AF41" s="1">
        <v>4645</v>
      </c>
      <c r="AG41" s="1">
        <v>4678</v>
      </c>
      <c r="AH41" s="662">
        <v>7579</v>
      </c>
      <c r="AI41" s="662">
        <v>4699</v>
      </c>
    </row>
    <row r="42" spans="22:35">
      <c r="X42" s="16"/>
      <c r="AA42" s="1">
        <v>10</v>
      </c>
      <c r="AB42" s="24">
        <f t="shared" si="0"/>
        <v>5777</v>
      </c>
      <c r="AC42" s="1" t="s">
        <v>93</v>
      </c>
      <c r="AD42" s="1">
        <v>8925</v>
      </c>
      <c r="AE42" s="1">
        <v>9317</v>
      </c>
      <c r="AF42" s="1">
        <v>5777</v>
      </c>
      <c r="AG42" s="1">
        <v>5838</v>
      </c>
      <c r="AH42" s="662">
        <v>9473</v>
      </c>
      <c r="AI42" s="662">
        <v>5876</v>
      </c>
    </row>
    <row r="43" spans="22:35">
      <c r="X43" s="194"/>
      <c r="Y43" s="194"/>
      <c r="AA43" s="1">
        <v>11</v>
      </c>
      <c r="AB43" s="24">
        <f t="shared" si="0"/>
        <v>7187</v>
      </c>
      <c r="AC43" s="1" t="s">
        <v>97</v>
      </c>
      <c r="AD43" s="1">
        <v>10755</v>
      </c>
      <c r="AE43" s="1">
        <v>11424</v>
      </c>
      <c r="AF43" s="1">
        <v>7187</v>
      </c>
      <c r="AG43" s="1">
        <v>7301</v>
      </c>
      <c r="AH43" s="662">
        <v>11703</v>
      </c>
      <c r="AI43" s="662">
        <v>7373</v>
      </c>
    </row>
    <row r="44" spans="22:35">
      <c r="X44" s="194"/>
      <c r="Y44" s="194"/>
      <c r="AA44" s="1">
        <v>12</v>
      </c>
      <c r="AB44" s="24">
        <f t="shared" si="0"/>
        <v>8826</v>
      </c>
      <c r="AC44" s="1" t="s">
        <v>101</v>
      </c>
      <c r="AD44" s="1">
        <v>12844</v>
      </c>
      <c r="AE44" s="1">
        <v>13923</v>
      </c>
      <c r="AF44" s="1">
        <v>8826</v>
      </c>
      <c r="AG44" s="1">
        <v>9110</v>
      </c>
      <c r="AH44" s="662">
        <v>14410</v>
      </c>
      <c r="AI44" s="662">
        <v>9243</v>
      </c>
    </row>
    <row r="45" spans="22:35">
      <c r="X45" s="194"/>
      <c r="Y45" s="194"/>
      <c r="AA45" s="1">
        <v>13</v>
      </c>
      <c r="AB45" s="24">
        <f t="shared" si="0"/>
        <v>10741</v>
      </c>
      <c r="AC45" s="1" t="s">
        <v>103</v>
      </c>
      <c r="AD45" s="1">
        <v>15082</v>
      </c>
      <c r="AE45" s="1">
        <v>16673</v>
      </c>
      <c r="AF45" s="1">
        <v>10741</v>
      </c>
      <c r="AG45" s="1">
        <v>11174</v>
      </c>
      <c r="AH45" s="662">
        <v>17438</v>
      </c>
      <c r="AI45" s="662">
        <v>11409</v>
      </c>
    </row>
    <row r="46" spans="22:35">
      <c r="X46" s="194"/>
      <c r="Y46" s="194"/>
      <c r="AA46" s="1">
        <v>14</v>
      </c>
      <c r="AB46" s="24">
        <f t="shared" si="0"/>
        <v>12122</v>
      </c>
      <c r="AC46" s="1" t="s">
        <v>106</v>
      </c>
      <c r="AD46" s="1">
        <v>16483</v>
      </c>
      <c r="AE46" s="1">
        <v>18594</v>
      </c>
      <c r="AF46" s="1">
        <v>12122</v>
      </c>
      <c r="AG46" s="1">
        <v>12862</v>
      </c>
      <c r="AH46" s="662">
        <v>19779</v>
      </c>
      <c r="AI46" s="662">
        <v>13236</v>
      </c>
    </row>
    <row r="47" spans="22:35">
      <c r="X47" s="194"/>
      <c r="Y47" s="194"/>
      <c r="Z47" s="194"/>
      <c r="AA47" s="1">
        <v>15</v>
      </c>
      <c r="AB47" s="24">
        <f t="shared" si="0"/>
        <v>13910</v>
      </c>
      <c r="AC47" s="1" t="s">
        <v>109</v>
      </c>
      <c r="AD47" s="1">
        <v>18177</v>
      </c>
      <c r="AE47" s="1">
        <v>20868</v>
      </c>
      <c r="AF47" s="1">
        <v>13910</v>
      </c>
      <c r="AG47" s="1">
        <v>14923</v>
      </c>
      <c r="AH47" s="662">
        <v>22525</v>
      </c>
      <c r="AI47" s="662">
        <v>15495</v>
      </c>
    </row>
    <row r="48" spans="22:35">
      <c r="AA48" s="1">
        <v>16</v>
      </c>
      <c r="AB48" s="24">
        <f t="shared" si="0"/>
        <v>15484</v>
      </c>
      <c r="AC48" s="1" t="s">
        <v>112</v>
      </c>
      <c r="AD48" s="1">
        <v>19704</v>
      </c>
      <c r="AE48" s="1">
        <v>22737</v>
      </c>
      <c r="AF48" s="1">
        <v>15484</v>
      </c>
      <c r="AG48" s="1">
        <v>16813</v>
      </c>
      <c r="AH48" s="662">
        <v>24904</v>
      </c>
      <c r="AI48" s="662">
        <v>17635</v>
      </c>
    </row>
    <row r="49" spans="24:35">
      <c r="X49" s="194"/>
      <c r="AA49" s="1">
        <v>17</v>
      </c>
      <c r="AB49" s="24">
        <f t="shared" si="0"/>
        <v>16671</v>
      </c>
      <c r="AC49" s="1" t="s">
        <v>114</v>
      </c>
      <c r="AD49" s="1">
        <v>20566</v>
      </c>
      <c r="AE49" s="1">
        <v>24297</v>
      </c>
      <c r="AF49" s="1">
        <v>16671</v>
      </c>
      <c r="AG49" s="1">
        <v>18506</v>
      </c>
      <c r="AH49" s="662">
        <v>26916</v>
      </c>
      <c r="AI49" s="662">
        <v>19588</v>
      </c>
    </row>
    <row r="50" spans="24:35">
      <c r="X50" s="194"/>
      <c r="Y50" s="194"/>
      <c r="AA50" s="1">
        <v>18</v>
      </c>
      <c r="AB50" s="24">
        <f t="shared" si="0"/>
        <v>18756</v>
      </c>
      <c r="AC50" s="1" t="s">
        <v>116</v>
      </c>
      <c r="AD50" s="1">
        <v>22185</v>
      </c>
      <c r="AE50" s="1">
        <v>26706</v>
      </c>
      <c r="AF50" s="1">
        <v>18756</v>
      </c>
      <c r="AG50" s="1">
        <v>21391</v>
      </c>
      <c r="AH50" s="662">
        <v>30096</v>
      </c>
      <c r="AI50" s="662">
        <v>23018</v>
      </c>
    </row>
    <row r="55" spans="24:35">
      <c r="AA55" s="1">
        <f>IF(ISNA(VLOOKUP(Z41,AA33:AB53,2)=TRUE),0,VLOOKUP(Z41,AA33:AB53,2))</f>
        <v>2346</v>
      </c>
      <c r="AB55" s="24" t="str">
        <f>IF(ISNA(VLOOKUP(Z41,AA33:AC53,3)=TRUE),0,VLOOKUP(Z41,AA33:AC53,3))</f>
        <v>#4</v>
      </c>
    </row>
    <row r="58" spans="24:35">
      <c r="AB58" s="1"/>
    </row>
    <row r="59" spans="24:35">
      <c r="Y59" s="16"/>
      <c r="AB59" s="1"/>
    </row>
    <row r="60" spans="24:35">
      <c r="Y60" s="16"/>
      <c r="AB60" s="1"/>
    </row>
    <row r="61" spans="24:35">
      <c r="Y61" s="16"/>
      <c r="AB61" s="1"/>
    </row>
    <row r="62" spans="24:35">
      <c r="AB62" s="1"/>
    </row>
    <row r="63" spans="24:35">
      <c r="AB63" s="1"/>
    </row>
    <row r="64" spans="24:35">
      <c r="AB64" s="1"/>
    </row>
    <row r="65" spans="28:29">
      <c r="AB65" s="1"/>
    </row>
    <row r="66" spans="28:29">
      <c r="AB66" s="1"/>
    </row>
    <row r="67" spans="28:29">
      <c r="AB67" s="1"/>
    </row>
    <row r="68" spans="28:29">
      <c r="AB68" s="1"/>
    </row>
    <row r="69" spans="28:29">
      <c r="AB69" s="1"/>
    </row>
    <row r="70" spans="28:29">
      <c r="AB70" s="1"/>
    </row>
    <row r="73" spans="28:29">
      <c r="AC73" s="220"/>
    </row>
    <row r="74" spans="28:29">
      <c r="AC74" s="24"/>
    </row>
    <row r="75" spans="28:29">
      <c r="AC75" s="219"/>
    </row>
    <row r="76" spans="28:29">
      <c r="AC76" s="24"/>
    </row>
    <row r="77" spans="28:29">
      <c r="AC77" s="23"/>
    </row>
    <row r="78" spans="28:29">
      <c r="AC78" s="23"/>
    </row>
    <row r="79" spans="28:29">
      <c r="AC79" s="23"/>
    </row>
    <row r="80" spans="28:29">
      <c r="AC80" s="23"/>
    </row>
    <row r="81" spans="28:29">
      <c r="AB81" s="23"/>
      <c r="AC81" s="24"/>
    </row>
    <row r="82" spans="28:29">
      <c r="AB82" s="23"/>
      <c r="AC82" s="24"/>
    </row>
    <row r="83" spans="28:29">
      <c r="AB83" s="23"/>
      <c r="AC83" s="24"/>
    </row>
    <row r="84" spans="28:29">
      <c r="AB84" s="23"/>
      <c r="AC84" s="24"/>
    </row>
    <row r="85" spans="28:29">
      <c r="AB85" s="23"/>
      <c r="AC85" s="24"/>
    </row>
    <row r="86" spans="28:29">
      <c r="AB86" s="23"/>
      <c r="AC86" s="24"/>
    </row>
    <row r="87" spans="28:29">
      <c r="AB87" s="23"/>
      <c r="AC87" s="24"/>
    </row>
    <row r="88" spans="28:29">
      <c r="AB88" s="23"/>
      <c r="AC88" s="24"/>
    </row>
    <row r="89" spans="28:29">
      <c r="AB89" s="23"/>
      <c r="AC89" s="24"/>
    </row>
    <row r="90" spans="28:29">
      <c r="AB90" s="23"/>
      <c r="AC90" s="24"/>
    </row>
    <row r="91" spans="28:29">
      <c r="AB91" s="23"/>
      <c r="AC91" s="24"/>
    </row>
    <row r="92" spans="28:29">
      <c r="AB92" s="23"/>
      <c r="AC92" s="24"/>
    </row>
    <row r="93" spans="28:29">
      <c r="AB93" s="23"/>
      <c r="AC93" s="24"/>
    </row>
    <row r="94" spans="28:29">
      <c r="AB94" s="23"/>
      <c r="AC94" s="24"/>
    </row>
    <row r="95" spans="28:29">
      <c r="AB95" s="23"/>
      <c r="AC95" s="24"/>
    </row>
    <row r="96" spans="28:29">
      <c r="AB96" s="23"/>
      <c r="AC96" s="24"/>
    </row>
    <row r="97" spans="28:29">
      <c r="AB97" s="23"/>
      <c r="AC97" s="24"/>
    </row>
    <row r="98" spans="28:29">
      <c r="AB98" s="23"/>
      <c r="AC98" s="24"/>
    </row>
    <row r="99" spans="28:29">
      <c r="AB99" s="23"/>
      <c r="AC99" s="24"/>
    </row>
    <row r="100" spans="28:29">
      <c r="AB100" s="23"/>
      <c r="AC100" s="24"/>
    </row>
  </sheetData>
  <phoneticPr fontId="0" type="noConversion"/>
  <conditionalFormatting sqref="AH30:AH50 AI30">
    <cfRule type="expression" dxfId="201" priority="1" stopIfTrue="1">
      <formula>IF(AB$29=5,TRUE,FALSE)</formula>
    </cfRule>
  </conditionalFormatting>
  <conditionalFormatting sqref="AI31:AI50">
    <cfRule type="expression" dxfId="200" priority="2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O66"/>
  <sheetViews>
    <sheetView topLeftCell="N1" workbookViewId="0">
      <selection activeCell="P27" sqref="P27"/>
    </sheetView>
  </sheetViews>
  <sheetFormatPr defaultColWidth="10.6640625" defaultRowHeight="11.25"/>
  <cols>
    <col min="1" max="2" width="9.33203125" style="149" customWidth="1"/>
    <col min="3" max="3" width="18.6640625" style="149" customWidth="1"/>
    <col min="4" max="4" width="21.1640625" style="149" customWidth="1"/>
    <col min="5" max="12" width="10.6640625" style="149" customWidth="1"/>
    <col min="13" max="13" width="20.6640625" style="149" customWidth="1"/>
    <col min="14" max="16384" width="10.6640625" style="149"/>
  </cols>
  <sheetData>
    <row r="1" spans="2:67">
      <c r="AO1" s="314" t="s">
        <v>149</v>
      </c>
    </row>
    <row r="2" spans="2:67">
      <c r="C2" s="149" t="s">
        <v>0</v>
      </c>
      <c r="D2" s="149" t="s">
        <v>6</v>
      </c>
      <c r="E2" s="149" t="s">
        <v>503</v>
      </c>
      <c r="F2" s="149" t="s">
        <v>506</v>
      </c>
      <c r="G2" s="149" t="s">
        <v>507</v>
      </c>
      <c r="H2" s="149" t="s">
        <v>21</v>
      </c>
      <c r="I2" s="149" t="s">
        <v>508</v>
      </c>
      <c r="J2" s="149" t="s">
        <v>471</v>
      </c>
      <c r="K2" s="149" t="s">
        <v>34</v>
      </c>
      <c r="L2" s="149" t="s">
        <v>34</v>
      </c>
      <c r="M2" s="149" t="s">
        <v>68</v>
      </c>
      <c r="N2" s="149" t="s">
        <v>68</v>
      </c>
      <c r="O2" s="149" t="s">
        <v>68</v>
      </c>
      <c r="P2" s="149" t="s">
        <v>68</v>
      </c>
      <c r="Q2" s="149" t="s">
        <v>32</v>
      </c>
      <c r="R2" s="149" t="s">
        <v>513</v>
      </c>
      <c r="S2" s="149" t="s">
        <v>243</v>
      </c>
      <c r="T2" s="149" t="s">
        <v>24</v>
      </c>
      <c r="U2" s="149" t="s">
        <v>514</v>
      </c>
      <c r="V2" s="149" t="s">
        <v>765</v>
      </c>
      <c r="W2" s="149" t="s">
        <v>56</v>
      </c>
      <c r="X2" s="149" t="s">
        <v>371</v>
      </c>
      <c r="Y2" s="149" t="s">
        <v>517</v>
      </c>
      <c r="Z2" s="149" t="s">
        <v>520</v>
      </c>
      <c r="AA2" s="149" t="s">
        <v>517</v>
      </c>
      <c r="AB2" s="149" t="s">
        <v>390</v>
      </c>
      <c r="AC2" s="149" t="s">
        <v>32</v>
      </c>
      <c r="AD2" s="149" t="s">
        <v>32</v>
      </c>
      <c r="AE2" s="149" t="s">
        <v>68</v>
      </c>
      <c r="AF2" s="149" t="s">
        <v>68</v>
      </c>
      <c r="AG2" s="149" t="s">
        <v>68</v>
      </c>
      <c r="AH2" s="149" t="s">
        <v>68</v>
      </c>
      <c r="AI2" s="149" t="s">
        <v>68</v>
      </c>
      <c r="AJ2" s="149" t="s">
        <v>68</v>
      </c>
      <c r="AK2" s="149" t="s">
        <v>471</v>
      </c>
      <c r="AL2" s="149" t="s">
        <v>471</v>
      </c>
      <c r="AM2" s="149" t="s">
        <v>34</v>
      </c>
      <c r="AN2" s="149" t="s">
        <v>34</v>
      </c>
      <c r="AO2" s="149" t="s">
        <v>401</v>
      </c>
      <c r="AP2" s="149" t="s">
        <v>401</v>
      </c>
      <c r="AQ2" s="149" t="s">
        <v>403</v>
      </c>
      <c r="AR2" s="149" t="s">
        <v>403</v>
      </c>
      <c r="AS2" s="149" t="s">
        <v>543</v>
      </c>
      <c r="AT2" s="149" t="s">
        <v>543</v>
      </c>
      <c r="AU2" s="149" t="s">
        <v>543</v>
      </c>
      <c r="AV2" s="149" t="s">
        <v>543</v>
      </c>
      <c r="AW2" s="149" t="s">
        <v>39</v>
      </c>
      <c r="AX2" s="149" t="s">
        <v>39</v>
      </c>
      <c r="AY2" s="149" t="s">
        <v>39</v>
      </c>
      <c r="AZ2" s="149" t="s">
        <v>406</v>
      </c>
      <c r="BA2" s="149" t="s">
        <v>406</v>
      </c>
      <c r="BB2" s="149" t="s">
        <v>406</v>
      </c>
      <c r="BC2" s="149" t="s">
        <v>189</v>
      </c>
      <c r="BD2" s="149" t="s">
        <v>189</v>
      </c>
      <c r="BE2" s="149" t="s">
        <v>189</v>
      </c>
      <c r="BF2" s="149" t="s">
        <v>63</v>
      </c>
      <c r="BG2" s="149" t="s">
        <v>63</v>
      </c>
      <c r="BH2" s="149" t="s">
        <v>63</v>
      </c>
      <c r="BI2" s="149" t="s">
        <v>545</v>
      </c>
      <c r="BJ2" s="149" t="s">
        <v>545</v>
      </c>
      <c r="BK2" s="149" t="s">
        <v>545</v>
      </c>
      <c r="BL2" s="149" t="s">
        <v>243</v>
      </c>
      <c r="BM2" s="149" t="s">
        <v>243</v>
      </c>
      <c r="BN2" s="149" t="s">
        <v>243</v>
      </c>
      <c r="BO2" s="149" t="s">
        <v>193</v>
      </c>
    </row>
    <row r="3" spans="2:67">
      <c r="C3" s="149" t="s">
        <v>389</v>
      </c>
      <c r="E3" s="149" t="s">
        <v>504</v>
      </c>
      <c r="F3" s="149" t="s">
        <v>170</v>
      </c>
      <c r="G3" s="149" t="s">
        <v>170</v>
      </c>
      <c r="I3" s="149" t="s">
        <v>38</v>
      </c>
      <c r="J3" s="149" t="s">
        <v>38</v>
      </c>
      <c r="K3" s="149" t="s">
        <v>509</v>
      </c>
      <c r="L3" s="149" t="s">
        <v>68</v>
      </c>
      <c r="M3" s="149" t="s">
        <v>510</v>
      </c>
      <c r="N3" s="149" t="s">
        <v>511</v>
      </c>
      <c r="O3" s="149" t="s">
        <v>512</v>
      </c>
      <c r="P3" s="149" t="s">
        <v>306</v>
      </c>
      <c r="Q3" s="149" t="s">
        <v>510</v>
      </c>
      <c r="R3" s="149" t="s">
        <v>48</v>
      </c>
      <c r="S3" s="149" t="s">
        <v>388</v>
      </c>
      <c r="U3" s="149" t="s">
        <v>474</v>
      </c>
      <c r="V3" s="149" t="s">
        <v>38</v>
      </c>
      <c r="W3" s="149" t="s">
        <v>810</v>
      </c>
      <c r="X3" s="149" t="s">
        <v>515</v>
      </c>
      <c r="Y3" s="149" t="s">
        <v>518</v>
      </c>
      <c r="Z3" s="149" t="s">
        <v>170</v>
      </c>
      <c r="AA3" s="149" t="s">
        <v>521</v>
      </c>
      <c r="AB3" s="149" t="s">
        <v>505</v>
      </c>
      <c r="AC3" s="149" t="s">
        <v>38</v>
      </c>
      <c r="AD3" s="149" t="s">
        <v>38</v>
      </c>
      <c r="AE3" s="149" t="s">
        <v>38</v>
      </c>
      <c r="AF3" s="149" t="s">
        <v>7</v>
      </c>
      <c r="AG3" s="149" t="s">
        <v>38</v>
      </c>
      <c r="AH3" s="149" t="s">
        <v>7</v>
      </c>
      <c r="AI3" s="149" t="s">
        <v>38</v>
      </c>
      <c r="AJ3" s="149" t="s">
        <v>7</v>
      </c>
      <c r="AK3" s="149" t="s">
        <v>38</v>
      </c>
      <c r="AL3" s="149" t="s">
        <v>7</v>
      </c>
      <c r="AM3" s="149" t="s">
        <v>38</v>
      </c>
      <c r="AN3" s="149" t="s">
        <v>68</v>
      </c>
      <c r="AO3" s="149" t="s">
        <v>541</v>
      </c>
      <c r="AP3" s="149" t="s">
        <v>541</v>
      </c>
      <c r="AQ3" s="149" t="s">
        <v>542</v>
      </c>
      <c r="AR3" s="149" t="s">
        <v>542</v>
      </c>
      <c r="AS3" s="149" t="s">
        <v>56</v>
      </c>
      <c r="AT3" s="149" t="s">
        <v>56</v>
      </c>
      <c r="AU3" s="149" t="s">
        <v>541</v>
      </c>
      <c r="AV3" s="149" t="s">
        <v>541</v>
      </c>
      <c r="AW3" s="149" t="s">
        <v>65</v>
      </c>
      <c r="AX3" s="149" t="s">
        <v>65</v>
      </c>
      <c r="AY3" s="149" t="s">
        <v>65</v>
      </c>
      <c r="AZ3" s="149" t="s">
        <v>388</v>
      </c>
      <c r="BA3" s="149" t="s">
        <v>388</v>
      </c>
      <c r="BB3" s="149" t="s">
        <v>388</v>
      </c>
      <c r="BC3" s="149" t="s">
        <v>65</v>
      </c>
      <c r="BD3" s="149" t="s">
        <v>65</v>
      </c>
      <c r="BE3" s="149" t="s">
        <v>65</v>
      </c>
      <c r="BF3" s="149" t="s">
        <v>65</v>
      </c>
      <c r="BG3" s="149" t="s">
        <v>65</v>
      </c>
      <c r="BH3" s="149" t="s">
        <v>65</v>
      </c>
      <c r="BI3" s="149" t="s">
        <v>63</v>
      </c>
      <c r="BJ3" s="149" t="s">
        <v>63</v>
      </c>
      <c r="BK3" s="149" t="s">
        <v>63</v>
      </c>
      <c r="BL3" s="149" t="s">
        <v>65</v>
      </c>
      <c r="BM3" s="149" t="s">
        <v>65</v>
      </c>
      <c r="BN3" s="149" t="s">
        <v>65</v>
      </c>
      <c r="BO3" s="149" t="s">
        <v>48</v>
      </c>
    </row>
    <row r="4" spans="2:67">
      <c r="C4" s="149" t="s">
        <v>386</v>
      </c>
      <c r="D4" s="149" t="s">
        <v>387</v>
      </c>
      <c r="E4" s="149" t="s">
        <v>387</v>
      </c>
      <c r="K4" s="149" t="s">
        <v>391</v>
      </c>
      <c r="L4" s="149" t="s">
        <v>391</v>
      </c>
      <c r="P4" s="149" t="s">
        <v>12</v>
      </c>
      <c r="U4" s="149" t="s">
        <v>391</v>
      </c>
      <c r="X4" s="149" t="s">
        <v>516</v>
      </c>
      <c r="Y4" s="149" t="s">
        <v>519</v>
      </c>
      <c r="Z4" s="149" t="s">
        <v>66</v>
      </c>
      <c r="AA4" s="149" t="s">
        <v>0</v>
      </c>
      <c r="AB4" s="149" t="s">
        <v>522</v>
      </c>
      <c r="AD4" s="149" t="s">
        <v>7</v>
      </c>
      <c r="AE4" s="149" t="s">
        <v>55</v>
      </c>
      <c r="AF4" s="149" t="s">
        <v>55</v>
      </c>
      <c r="AG4" s="149" t="s">
        <v>56</v>
      </c>
      <c r="AH4" s="149" t="s">
        <v>56</v>
      </c>
      <c r="AI4" s="149" t="s">
        <v>57</v>
      </c>
      <c r="AJ4" s="149" t="s">
        <v>57</v>
      </c>
      <c r="AN4" s="149" t="s">
        <v>7</v>
      </c>
      <c r="AO4" s="149" t="s">
        <v>136</v>
      </c>
      <c r="AP4" s="149" t="s">
        <v>544</v>
      </c>
      <c r="AQ4" s="149" t="s">
        <v>136</v>
      </c>
      <c r="AR4" s="149" t="s">
        <v>544</v>
      </c>
      <c r="AS4" s="149" t="s">
        <v>136</v>
      </c>
      <c r="AT4" s="149" t="s">
        <v>544</v>
      </c>
      <c r="AU4" s="149" t="s">
        <v>136</v>
      </c>
      <c r="AV4" s="149" t="s">
        <v>544</v>
      </c>
      <c r="AW4" s="316" t="s">
        <v>55</v>
      </c>
      <c r="AX4" s="316" t="s">
        <v>56</v>
      </c>
      <c r="AY4" s="316" t="s">
        <v>57</v>
      </c>
      <c r="AZ4" s="316" t="s">
        <v>55</v>
      </c>
      <c r="BA4" s="316" t="s">
        <v>56</v>
      </c>
      <c r="BB4" s="316" t="s">
        <v>57</v>
      </c>
      <c r="BC4" s="316" t="s">
        <v>55</v>
      </c>
      <c r="BD4" s="316" t="s">
        <v>56</v>
      </c>
      <c r="BE4" s="316" t="s">
        <v>57</v>
      </c>
      <c r="BF4" s="316" t="s">
        <v>55</v>
      </c>
      <c r="BG4" s="316" t="s">
        <v>56</v>
      </c>
      <c r="BH4" s="316" t="s">
        <v>57</v>
      </c>
      <c r="BI4" s="316" t="s">
        <v>55</v>
      </c>
      <c r="BJ4" s="316" t="s">
        <v>56</v>
      </c>
      <c r="BK4" s="316" t="s">
        <v>57</v>
      </c>
      <c r="BL4" s="316" t="s">
        <v>55</v>
      </c>
      <c r="BM4" s="316" t="s">
        <v>56</v>
      </c>
      <c r="BN4" s="316" t="s">
        <v>57</v>
      </c>
    </row>
    <row r="5" spans="2:67">
      <c r="C5" s="565" t="str">
        <f>Input!D3</f>
        <v>CP1</v>
      </c>
      <c r="D5" s="234" t="str">
        <f>IF(ISBLANK(Input!D4)=TRUE," ",Input!D4)</f>
        <v>MAIN PANEL</v>
      </c>
      <c r="E5" s="152">
        <f>Input!H5</f>
        <v>84</v>
      </c>
      <c r="F5" s="152">
        <f>Input!H6</f>
        <v>240</v>
      </c>
      <c r="G5" s="152">
        <f>Input!H7</f>
        <v>120</v>
      </c>
      <c r="H5" s="152" t="str">
        <f>Input!H8</f>
        <v>3Y</v>
      </c>
      <c r="I5" s="149" t="str">
        <f>Input!H9</f>
        <v>CONDUIT</v>
      </c>
      <c r="J5" s="149" t="str">
        <f>Input!H10</f>
        <v>FULL</v>
      </c>
      <c r="K5" s="149">
        <f>Input!H11</f>
        <v>0</v>
      </c>
      <c r="L5" s="149" t="str">
        <f>Input!H12</f>
        <v>Y</v>
      </c>
      <c r="M5" s="152" t="str">
        <f>Input!H13</f>
        <v>THHN</v>
      </c>
      <c r="N5" s="152" t="str">
        <f>Input!H14</f>
        <v>AL</v>
      </c>
      <c r="O5" s="149">
        <f>Input!H15</f>
        <v>75</v>
      </c>
      <c r="P5" s="149">
        <f>Input!H16</f>
        <v>10</v>
      </c>
      <c r="Q5" s="149" t="str">
        <f>Input!H17</f>
        <v>RIGID</v>
      </c>
      <c r="R5" s="152">
        <f>Input!H18</f>
        <v>0</v>
      </c>
      <c r="S5" s="152">
        <f>Input!H20</f>
        <v>0</v>
      </c>
      <c r="T5" s="152">
        <f>Input!H21</f>
        <v>0</v>
      </c>
      <c r="U5" s="149" t="str">
        <f>Input!H23</f>
        <v>Y</v>
      </c>
      <c r="V5" s="149">
        <f>Input!DS39</f>
        <v>60</v>
      </c>
      <c r="W5" s="149">
        <f>Input!DS40</f>
        <v>0</v>
      </c>
      <c r="X5" s="153">
        <f>Input!O3</f>
        <v>0</v>
      </c>
      <c r="Y5" s="152">
        <f>Short!H3</f>
        <v>28875</v>
      </c>
      <c r="Z5" s="317">
        <f>Short!J3</f>
        <v>1</v>
      </c>
      <c r="AA5" s="149">
        <f>ROUND((Input!O6/1000),1)</f>
        <v>15.3</v>
      </c>
      <c r="AB5" s="149">
        <f>Input!DA54</f>
        <v>1</v>
      </c>
      <c r="AC5" s="149" t="str">
        <f>Input!CV33</f>
        <v>1 1/4''</v>
      </c>
      <c r="AD5" s="149">
        <f>Input!CV30</f>
        <v>1.25</v>
      </c>
      <c r="AE5" s="149" t="str">
        <f>Input!CY54</f>
        <v>#4</v>
      </c>
      <c r="AF5" s="149">
        <f>Input!CZ54</f>
        <v>6</v>
      </c>
      <c r="AG5" s="149" t="str">
        <f>Input!CY55</f>
        <v>#4</v>
      </c>
      <c r="AH5" s="149">
        <f>Input!CZ55</f>
        <v>6</v>
      </c>
      <c r="AI5" s="149" t="str">
        <f>Input!CY54</f>
        <v>#4</v>
      </c>
      <c r="AJ5" s="149">
        <f>Input!CZ54</f>
        <v>6</v>
      </c>
      <c r="AK5" s="149" t="str">
        <f>Input!CY56</f>
        <v>#4</v>
      </c>
      <c r="AL5" s="149">
        <f>Input!CZ56</f>
        <v>6</v>
      </c>
      <c r="AM5" s="149" t="str">
        <f>Input!CY81</f>
        <v>#8</v>
      </c>
      <c r="AN5" s="149">
        <f>Input!CZ81</f>
        <v>4</v>
      </c>
      <c r="AO5" s="154" t="str">
        <f>Input!EL106</f>
        <v>0.6 VD</v>
      </c>
      <c r="AP5" s="156" t="str">
        <f>Input!EQ99</f>
        <v>0.3 % VD</v>
      </c>
      <c r="AQ5" s="154" t="str">
        <f>Input!EM106</f>
        <v>0.5 VD</v>
      </c>
      <c r="AR5" s="149" t="str">
        <f>Input!ER99</f>
        <v>0.2 % VD</v>
      </c>
      <c r="AS5" s="154" t="str">
        <f>Input!EN106</f>
        <v>0.5 VD</v>
      </c>
      <c r="AT5" s="149" t="str">
        <f>Input!ES99</f>
        <v>0.2 % VD</v>
      </c>
      <c r="AU5" s="149" t="str">
        <f>Input!EO106</f>
        <v>0.6 VD</v>
      </c>
      <c r="AV5" s="149" t="str">
        <f>Input!ET99</f>
        <v>0.3 % VD</v>
      </c>
      <c r="AW5" s="152">
        <f>Calcs!AM13</f>
        <v>7100</v>
      </c>
      <c r="AX5" s="152">
        <f>Calcs!AN13</f>
        <v>7100</v>
      </c>
      <c r="AY5" s="152">
        <f>Calcs!AO13</f>
        <v>1100</v>
      </c>
      <c r="AZ5" s="152">
        <f>Calcs!AM14</f>
        <v>0</v>
      </c>
      <c r="BA5" s="152">
        <f>Calcs!AN14</f>
        <v>0</v>
      </c>
      <c r="BB5" s="152">
        <f>Calcs!AO14</f>
        <v>0</v>
      </c>
      <c r="BC5" s="152">
        <f>Calcs!AM15</f>
        <v>0</v>
      </c>
      <c r="BD5" s="152">
        <f>Calcs!AN15</f>
        <v>0</v>
      </c>
      <c r="BE5" s="152">
        <f>Calcs!AO15</f>
        <v>0</v>
      </c>
      <c r="BF5" s="152">
        <f>Input!AU75</f>
        <v>0</v>
      </c>
      <c r="BG5" s="152">
        <f>Input!AW75</f>
        <v>0</v>
      </c>
      <c r="BH5" s="152">
        <f>Input!AY75</f>
        <v>0</v>
      </c>
      <c r="BI5" s="152">
        <f>Input!AU76</f>
        <v>0</v>
      </c>
      <c r="BJ5" s="152">
        <f>Input!AW76</f>
        <v>0</v>
      </c>
      <c r="BK5" s="152">
        <f>Input!AY76</f>
        <v>0</v>
      </c>
      <c r="BL5" s="152">
        <f>Input!BA75</f>
        <v>0</v>
      </c>
      <c r="BM5" s="152">
        <f>Input!BC75</f>
        <v>0</v>
      </c>
      <c r="BN5" s="152">
        <f>Input!BE75</f>
        <v>0</v>
      </c>
      <c r="BO5" s="149">
        <f>Calcs!V43</f>
        <v>57.9</v>
      </c>
    </row>
    <row r="6" spans="2:67">
      <c r="C6" s="149" t="s">
        <v>12</v>
      </c>
      <c r="D6" s="149" t="s">
        <v>12</v>
      </c>
      <c r="P6" s="570" t="s">
        <v>829</v>
      </c>
    </row>
    <row r="7" spans="2:67">
      <c r="C7" s="560" t="str">
        <f>CONCATENATE(C6,C5)</f>
        <v xml:space="preserve"> CP1</v>
      </c>
      <c r="P7" s="563" t="str">
        <f>CONCATENATE(P4,P5,P6)</f>
        <v xml:space="preserve"> 10'</v>
      </c>
      <c r="V7" s="149" t="s">
        <v>12</v>
      </c>
    </row>
    <row r="8" spans="2:67">
      <c r="V8" s="149" t="s">
        <v>972</v>
      </c>
      <c r="AO8" s="314"/>
    </row>
    <row r="9" spans="2:67">
      <c r="C9" s="314" t="s">
        <v>546</v>
      </c>
      <c r="I9" s="149" t="s">
        <v>853</v>
      </c>
      <c r="J9" s="149" t="s">
        <v>521</v>
      </c>
      <c r="K9" s="149" t="s">
        <v>192</v>
      </c>
      <c r="V9" s="152">
        <f>IF(Input!H8=1,2,3)</f>
        <v>3</v>
      </c>
    </row>
    <row r="10" spans="2:67">
      <c r="C10" s="149" t="s">
        <v>371</v>
      </c>
      <c r="H10" s="149" t="s">
        <v>850</v>
      </c>
      <c r="I10" s="149" t="s">
        <v>850</v>
      </c>
      <c r="J10" s="149" t="s">
        <v>0</v>
      </c>
      <c r="V10" s="149" t="s">
        <v>971</v>
      </c>
    </row>
    <row r="11" spans="2:67">
      <c r="C11" s="149" t="s">
        <v>547</v>
      </c>
      <c r="G11" s="149" t="s">
        <v>851</v>
      </c>
      <c r="H11" s="595"/>
      <c r="I11" s="560"/>
      <c r="J11" s="152"/>
      <c r="M11" s="149" t="s">
        <v>855</v>
      </c>
      <c r="N11" s="149">
        <f>H11</f>
        <v>0</v>
      </c>
      <c r="O11" s="149" t="s">
        <v>856</v>
      </c>
      <c r="P11" s="149" t="str">
        <f>CONCATENATE(M11,N11,O11)</f>
        <v>SOURCE VOLTAGE IS 0V</v>
      </c>
    </row>
    <row r="12" spans="2:67">
      <c r="C12" s="600">
        <v>28875</v>
      </c>
      <c r="D12" s="564">
        <f>C12</f>
        <v>28875</v>
      </c>
      <c r="V12" s="560" t="str">
        <f>CONCATENATE(V7,V5,V8,V9,V10)</f>
        <v xml:space="preserve"> 60A-3P</v>
      </c>
    </row>
    <row r="13" spans="2:67">
      <c r="G13" s="149" t="s">
        <v>852</v>
      </c>
      <c r="H13" s="600"/>
      <c r="I13" s="564"/>
      <c r="J13" s="152"/>
      <c r="M13" s="149" t="s">
        <v>855</v>
      </c>
      <c r="N13" s="149">
        <f>H13</f>
        <v>0</v>
      </c>
      <c r="O13" s="149" t="s">
        <v>856</v>
      </c>
      <c r="P13" s="149" t="str">
        <f>CONCATENATE(M13,N13,O13)</f>
        <v>SOURCE VOLTAGE IS 0V</v>
      </c>
    </row>
    <row r="14" spans="2:67">
      <c r="B14" s="149" t="str">
        <f>Input!H9</f>
        <v>CONDUIT</v>
      </c>
    </row>
    <row r="15" spans="2:67">
      <c r="B15" s="152" t="str">
        <f>Input!H8</f>
        <v>3Y</v>
      </c>
      <c r="G15" s="149" t="s">
        <v>21</v>
      </c>
      <c r="H15" s="595" t="s">
        <v>478</v>
      </c>
      <c r="I15" s="564" t="str">
        <f>H15</f>
        <v>3Y</v>
      </c>
      <c r="J15" s="152"/>
      <c r="M15" s="149" t="s">
        <v>858</v>
      </c>
      <c r="N15" s="149" t="str">
        <f>H15</f>
        <v>3Y</v>
      </c>
      <c r="P15" s="149" t="str">
        <f>CONCATENATE(M15,N15,O15)</f>
        <v>SOURCE PHASE IS 3Y</v>
      </c>
    </row>
    <row r="16" spans="2:67">
      <c r="B16" s="149" t="str">
        <f>IF(B15=1,"  2-POLE",IF(B15="3Y","  3-POLE",IF(AND(B15="3D",B14="FULL"),"  3-POLE","")))</f>
        <v xml:space="preserve">  3-POLE</v>
      </c>
      <c r="C16" s="316" t="s">
        <v>765</v>
      </c>
      <c r="D16" s="149" t="s">
        <v>56</v>
      </c>
    </row>
    <row r="17" spans="2:9">
      <c r="C17" s="316" t="s">
        <v>48</v>
      </c>
      <c r="D17" s="149" t="s">
        <v>810</v>
      </c>
      <c r="G17" s="149" t="s">
        <v>515</v>
      </c>
      <c r="H17" s="595">
        <v>28875</v>
      </c>
      <c r="I17" s="560">
        <f>H17</f>
        <v>28875</v>
      </c>
    </row>
    <row r="18" spans="2:9" s="561" customFormat="1">
      <c r="B18" s="561" t="s">
        <v>390</v>
      </c>
      <c r="C18" s="562">
        <f>Input!DS39</f>
        <v>60</v>
      </c>
      <c r="D18" s="561">
        <f>W5</f>
        <v>0</v>
      </c>
    </row>
    <row r="19" spans="2:9" s="561" customFormat="1">
      <c r="B19" s="561" t="s">
        <v>12</v>
      </c>
      <c r="C19" s="562" t="s">
        <v>363</v>
      </c>
      <c r="D19" s="562" t="s">
        <v>363</v>
      </c>
      <c r="G19" s="561" t="s">
        <v>974</v>
      </c>
      <c r="H19" s="595" t="s">
        <v>976</v>
      </c>
      <c r="I19" s="560" t="str">
        <f>H19</f>
        <v>NO</v>
      </c>
    </row>
    <row r="20" spans="2:9" s="561" customFormat="1">
      <c r="B20" s="561" t="s">
        <v>386</v>
      </c>
      <c r="C20" s="569" t="str">
        <f>CONCATENATE(B19,C18,C19)</f>
        <v xml:space="preserve"> 60A</v>
      </c>
      <c r="D20" s="569" t="str">
        <f>IF(AND(H5="3D",V5&gt;W5),CONCATENATE(B19,D18,D19)," ")</f>
        <v xml:space="preserve"> </v>
      </c>
    </row>
    <row r="21" spans="2:9">
      <c r="G21" s="149" t="s">
        <v>136</v>
      </c>
      <c r="H21" s="595" t="s">
        <v>976</v>
      </c>
      <c r="I21" s="560" t="str">
        <f>H21</f>
        <v>NO</v>
      </c>
    </row>
    <row r="22" spans="2:9">
      <c r="C22" s="149" t="s">
        <v>362</v>
      </c>
      <c r="D22" s="149">
        <f>AB5</f>
        <v>1</v>
      </c>
    </row>
    <row r="23" spans="2:9">
      <c r="D23" s="316" t="s">
        <v>361</v>
      </c>
    </row>
    <row r="24" spans="2:9">
      <c r="C24" s="149" t="s">
        <v>98</v>
      </c>
      <c r="D24" s="316" t="str">
        <f>Input!O9</f>
        <v>1 1/4''</v>
      </c>
    </row>
    <row r="25" spans="2:9">
      <c r="C25" s="149" t="s">
        <v>776</v>
      </c>
      <c r="D25" s="149" t="s">
        <v>12</v>
      </c>
    </row>
    <row r="26" spans="2:9">
      <c r="C26" s="149" t="s">
        <v>15</v>
      </c>
      <c r="D26" s="316" t="str">
        <f>IF(Input!H9&lt;&gt;"CONDUIT","",Q5)</f>
        <v>RIGID</v>
      </c>
    </row>
    <row r="27" spans="2:9">
      <c r="D27" s="560" t="str">
        <f>CONCATENATE(D25,D22,D23,D24,D25,D26)</f>
        <v xml:space="preserve"> 1-1 1/4'' RIGID</v>
      </c>
    </row>
    <row r="29" spans="2:9">
      <c r="F29" s="149" t="s">
        <v>968</v>
      </c>
    </row>
    <row r="30" spans="2:9">
      <c r="C30" s="149" t="s">
        <v>811</v>
      </c>
      <c r="D30" s="564" t="str">
        <f>Input!DY93</f>
        <v xml:space="preserve"> 4-#4 THHN AL</v>
      </c>
      <c r="F30" s="149" t="str">
        <f>'Sec Cable'!F18</f>
        <v>ERROR</v>
      </c>
      <c r="H30" s="595" t="str">
        <f>IF(Input!H9&lt;&gt;"CONDUIT",F30,D30)</f>
        <v xml:space="preserve"> 4-#4 THHN AL</v>
      </c>
    </row>
    <row r="31" spans="2:9">
      <c r="C31" s="149" t="s">
        <v>812</v>
      </c>
      <c r="D31" s="564" t="str">
        <f>Input!DY94</f>
        <v xml:space="preserve"> 1-#8 AL GND</v>
      </c>
      <c r="F31" s="149" t="str">
        <f>'Sec Cable'!G18</f>
        <v>ERROR</v>
      </c>
      <c r="H31" s="595" t="str">
        <f>IF(Input!H9&lt;&gt;"CONDUIT",F31,D31)</f>
        <v xml:space="preserve"> 1-#8 AL GND</v>
      </c>
    </row>
    <row r="32" spans="2:9">
      <c r="C32" s="149" t="s">
        <v>813</v>
      </c>
      <c r="D32" s="564" t="str">
        <f>Input!DY95</f>
        <v/>
      </c>
      <c r="F32" s="149" t="s">
        <v>12</v>
      </c>
      <c r="H32" s="595" t="str">
        <f>IF(Input!H9&lt;&gt;"CONDUIT",F32,D32)</f>
        <v/>
      </c>
    </row>
    <row r="33" spans="2:8">
      <c r="C33" s="149" t="s">
        <v>814</v>
      </c>
      <c r="D33" s="564" t="str">
        <f>Input!DY96</f>
        <v/>
      </c>
      <c r="F33" s="149" t="s">
        <v>12</v>
      </c>
      <c r="H33" s="595" t="str">
        <f>IF(Input!H9&lt;&gt;"CONDUIT",F33,D33)</f>
        <v/>
      </c>
    </row>
    <row r="34" spans="2:8">
      <c r="C34" s="149" t="s">
        <v>12</v>
      </c>
    </row>
    <row r="35" spans="2:8">
      <c r="B35" s="153">
        <f>Input!O3</f>
        <v>0</v>
      </c>
      <c r="C35" s="149" t="s">
        <v>815</v>
      </c>
      <c r="D35" s="561">
        <f>AA5</f>
        <v>15.3</v>
      </c>
    </row>
    <row r="36" spans="2:8">
      <c r="D36" s="316" t="s">
        <v>816</v>
      </c>
    </row>
    <row r="37" spans="2:8">
      <c r="D37" s="563" t="str">
        <f>IF(B35="NONE"," ",CONCATENATE(D35,D36))</f>
        <v xml:space="preserve">15.3 K </v>
      </c>
    </row>
    <row r="39" spans="2:8">
      <c r="C39" s="149" t="s">
        <v>125</v>
      </c>
      <c r="D39" s="316" t="s">
        <v>12</v>
      </c>
    </row>
    <row r="40" spans="2:8">
      <c r="D40" s="562" t="str">
        <f>IF(H5=1,AP5,IF(H5="3Y",AR5,IF(H5="3D",AV5)))</f>
        <v>0.2 % VD</v>
      </c>
    </row>
    <row r="41" spans="2:8">
      <c r="D41" s="563" t="str">
        <f>CONCATENATE(D39,D40)</f>
        <v xml:space="preserve"> 0.2 % VD</v>
      </c>
    </row>
    <row r="43" spans="2:8">
      <c r="D43" s="149" t="s">
        <v>12</v>
      </c>
    </row>
    <row r="44" spans="2:8">
      <c r="C44" s="149" t="s">
        <v>828</v>
      </c>
      <c r="D44" s="149">
        <f>P5</f>
        <v>10</v>
      </c>
    </row>
    <row r="45" spans="2:8">
      <c r="C45" s="149" t="s">
        <v>0</v>
      </c>
      <c r="D45" s="570" t="s">
        <v>829</v>
      </c>
    </row>
    <row r="46" spans="2:8">
      <c r="D46" s="563" t="str">
        <f>CONCATENATE(D43,D44,D45)</f>
        <v xml:space="preserve"> 10'</v>
      </c>
    </row>
    <row r="49" spans="1:4">
      <c r="D49" s="149" t="s">
        <v>12</v>
      </c>
    </row>
    <row r="50" spans="1:4">
      <c r="A50" s="149" t="str">
        <f>Input!O15</f>
        <v>NONE</v>
      </c>
      <c r="C50" s="149" t="s">
        <v>828</v>
      </c>
      <c r="D50" s="149">
        <f>'S-Input'!J17</f>
        <v>0</v>
      </c>
    </row>
    <row r="51" spans="1:4">
      <c r="C51" s="149" t="s">
        <v>830</v>
      </c>
      <c r="D51" s="570" t="s">
        <v>829</v>
      </c>
    </row>
    <row r="52" spans="1:4">
      <c r="D52" s="563" t="str">
        <f>IF(A50="NONE"," ",CONCATENATE(D49,D50,D51))</f>
        <v xml:space="preserve"> </v>
      </c>
    </row>
    <row r="55" spans="1:4">
      <c r="D55" s="149" t="s">
        <v>12</v>
      </c>
    </row>
    <row r="56" spans="1:4">
      <c r="C56" s="149" t="s">
        <v>828</v>
      </c>
      <c r="D56" s="149">
        <f>'S-Input'!H17</f>
        <v>50</v>
      </c>
    </row>
    <row r="57" spans="1:4">
      <c r="C57" s="149" t="s">
        <v>831</v>
      </c>
      <c r="D57" s="570" t="s">
        <v>829</v>
      </c>
    </row>
    <row r="58" spans="1:4">
      <c r="D58" s="563" t="str">
        <f>IF(A50="NONE"," ",CONCATENATE(D55,D56,D57))</f>
        <v xml:space="preserve"> </v>
      </c>
    </row>
    <row r="61" spans="1:4">
      <c r="C61" s="149" t="s">
        <v>481</v>
      </c>
      <c r="D61" s="560">
        <f>Calcs!BI43</f>
        <v>0</v>
      </c>
    </row>
    <row r="64" spans="1:4">
      <c r="C64" s="149" t="s">
        <v>21</v>
      </c>
      <c r="D64" s="564" t="str">
        <f>Input!H8</f>
        <v>3Y</v>
      </c>
    </row>
    <row r="66" spans="3:4">
      <c r="C66" s="149" t="s">
        <v>849</v>
      </c>
      <c r="D66" s="560" t="str">
        <f>Input!H9</f>
        <v>CONDUIT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100"/>
  <sheetViews>
    <sheetView showGridLines="0" showRowColHeaders="0" showOutlineSymbols="0" workbookViewId="0">
      <selection activeCell="H1" sqref="H1:IV65536"/>
    </sheetView>
  </sheetViews>
  <sheetFormatPr defaultColWidth="0" defaultRowHeight="11.25" zeroHeight="1"/>
  <cols>
    <col min="1" max="1" width="2.33203125" style="1" customWidth="1"/>
    <col min="2" max="2" width="6.83203125" style="1" customWidth="1"/>
    <col min="3" max="3" width="24.83203125" style="24" customWidth="1"/>
    <col min="4" max="4" width="3.83203125" style="22" customWidth="1"/>
    <col min="5" max="5" width="24.83203125" style="24" customWidth="1"/>
    <col min="6" max="6" width="6.83203125" style="22" customWidth="1"/>
    <col min="7" max="7" width="2.33203125" style="1" customWidth="1"/>
    <col min="8" max="235" width="10.83203125" style="1" hidden="1" customWidth="1"/>
    <col min="236" max="16384" width="0" style="1" hidden="1"/>
  </cols>
  <sheetData>
    <row r="1" spans="1:11" ht="12" customHeight="1"/>
    <row r="2" spans="1:11" ht="12" customHeight="1">
      <c r="B2" s="40" t="s">
        <v>215</v>
      </c>
      <c r="C2" s="41"/>
      <c r="D2" s="318"/>
      <c r="E2" s="41" t="str">
        <f>IF(ISBLANK(Input!D3)=TRUE," ",Input!D3)</f>
        <v>CP1</v>
      </c>
      <c r="F2" s="42"/>
      <c r="I2" s="16">
        <f>Calcs!T6</f>
        <v>0</v>
      </c>
    </row>
    <row r="3" spans="1:11" ht="12" customHeight="1">
      <c r="A3" s="27"/>
      <c r="B3" s="548" t="str">
        <f>IF(I2=888,"ERROR IN MAIN PANEL",IF(I3&gt;0,"ERROR IN SUB PANEL",IF(I2&gt;0,"DIRECTORY WILL NOT DISPLAY UNTIL ALL ERRORS ARE CORECTED"," ")))</f>
        <v xml:space="preserve"> </v>
      </c>
      <c r="C3" s="29"/>
      <c r="D3" s="27"/>
      <c r="E3" s="29"/>
      <c r="F3" s="34"/>
      <c r="G3" s="27"/>
      <c r="H3" s="27"/>
      <c r="I3" s="28">
        <f>Calcs!V4</f>
        <v>0</v>
      </c>
    </row>
    <row r="4" spans="1:11" ht="12" customHeight="1">
      <c r="A4" s="27"/>
      <c r="B4" s="18" t="s">
        <v>9</v>
      </c>
      <c r="C4" s="19" t="s">
        <v>216</v>
      </c>
      <c r="D4" s="20" t="str">
        <f>Input!I28</f>
        <v>L1</v>
      </c>
      <c r="E4" s="44" t="s">
        <v>216</v>
      </c>
      <c r="F4" s="25" t="s">
        <v>9</v>
      </c>
      <c r="G4" s="27"/>
      <c r="H4" s="27"/>
      <c r="I4" s="27"/>
    </row>
    <row r="5" spans="1:11" ht="12" customHeight="1">
      <c r="A5" s="27"/>
      <c r="B5" s="17">
        <v>1</v>
      </c>
      <c r="C5" s="19" t="str">
        <f>IF(ISBLANK(Schedule!D23)=TRUE," ",Schedule!D23)</f>
        <v xml:space="preserve"> </v>
      </c>
      <c r="D5" s="18" t="str">
        <f>Input!I29</f>
        <v>L2</v>
      </c>
      <c r="E5" s="19" t="str">
        <f>IF(ISBLANK(Input!N28)=TRUE," ",Input!N28)</f>
        <v>LIGHTS</v>
      </c>
      <c r="F5" s="18">
        <v>2</v>
      </c>
      <c r="G5" s="27"/>
      <c r="H5" s="27"/>
      <c r="I5" s="27">
        <f>Input!T28</f>
        <v>1</v>
      </c>
      <c r="K5" s="1" t="str">
        <f>IF(T6=888,"ERROR IN MAIN PANEL",IF(I3&gt;0,"ERROR IN SUB PANEL",IF(T6&gt;0,"LOAD CALCULATIONS WILL NOT DISPLAY UNTIL ALL ERRORS ARE CORRECTED"," ")))</f>
        <v xml:space="preserve"> </v>
      </c>
    </row>
    <row r="6" spans="1:11" ht="12" customHeight="1">
      <c r="A6" s="27"/>
      <c r="B6" s="17">
        <v>3</v>
      </c>
      <c r="C6" s="19" t="str">
        <f>IF(ISBLANK(Schedule!D24)=TRUE," ",Schedule!D24)</f>
        <v xml:space="preserve"> </v>
      </c>
      <c r="D6" s="18" t="str">
        <f>Input!I30</f>
        <v>L3</v>
      </c>
      <c r="E6" s="19" t="str">
        <f>IF(ISBLANK(Input!N29)=TRUE," ",Input!N29)</f>
        <v>LIGHTS</v>
      </c>
      <c r="F6" s="18">
        <v>4</v>
      </c>
      <c r="G6" s="27"/>
      <c r="H6" s="27"/>
      <c r="I6" s="27">
        <f>Input!T29</f>
        <v>1</v>
      </c>
    </row>
    <row r="7" spans="1:11" ht="12" customHeight="1">
      <c r="A7" s="27"/>
      <c r="B7" s="17">
        <v>5</v>
      </c>
      <c r="C7" s="19" t="str">
        <f>IF(ISBLANK(Schedule!D25)=TRUE," ",Schedule!D25)</f>
        <v xml:space="preserve"> </v>
      </c>
      <c r="D7" s="18" t="str">
        <f>Input!I31</f>
        <v>L1</v>
      </c>
      <c r="E7" s="19" t="str">
        <f>IF(ISBLANK(Input!N30)=TRUE," ",Input!N30)</f>
        <v>LIGHTS</v>
      </c>
      <c r="F7" s="18">
        <v>6</v>
      </c>
      <c r="G7" s="27"/>
      <c r="H7" s="27"/>
      <c r="I7" s="27">
        <f>Input!T30</f>
        <v>1</v>
      </c>
    </row>
    <row r="8" spans="1:11" ht="12" customHeight="1">
      <c r="A8" s="27"/>
      <c r="B8" s="17">
        <v>7</v>
      </c>
      <c r="C8" s="19" t="str">
        <f>IF(ISBLANK(Input!D31)=TRUE," ",Input!D31)</f>
        <v xml:space="preserve"> </v>
      </c>
      <c r="D8" s="18" t="str">
        <f>Input!I32</f>
        <v>L2</v>
      </c>
      <c r="E8" s="19" t="str">
        <f>IF(ISBLANK(Input!N31)=TRUE," ",Input!N31)</f>
        <v xml:space="preserve"> </v>
      </c>
      <c r="F8" s="18">
        <v>8</v>
      </c>
      <c r="G8" s="27"/>
      <c r="H8" s="27"/>
      <c r="I8" s="27">
        <f>Input!T31</f>
        <v>1</v>
      </c>
    </row>
    <row r="9" spans="1:11" ht="12" customHeight="1">
      <c r="A9" s="27"/>
      <c r="B9" s="17">
        <v>9</v>
      </c>
      <c r="C9" s="19" t="str">
        <f>IF(ISBLANK(Input!D32)=TRUE," ",Input!D32)</f>
        <v xml:space="preserve"> </v>
      </c>
      <c r="D9" s="18" t="str">
        <f>Input!I33</f>
        <v>L3</v>
      </c>
      <c r="E9" s="19" t="str">
        <f>IF(ISBLANK(Input!N32)=TRUE," ",Input!N32)</f>
        <v xml:space="preserve"> </v>
      </c>
      <c r="F9" s="18">
        <v>10</v>
      </c>
      <c r="G9" s="27"/>
      <c r="H9" s="27"/>
      <c r="I9" s="27">
        <f>Input!T32</f>
        <v>1</v>
      </c>
    </row>
    <row r="10" spans="1:11" ht="12" customHeight="1">
      <c r="A10" s="27"/>
      <c r="B10" s="17">
        <v>11</v>
      </c>
      <c r="C10" s="19" t="str">
        <f>IF(ISBLANK(Input!D33)=TRUE," ",Input!D33)</f>
        <v xml:space="preserve"> </v>
      </c>
      <c r="D10" s="18" t="str">
        <f>Input!I34</f>
        <v>L1</v>
      </c>
      <c r="E10" s="19" t="str">
        <f>IF(ISBLANK(Input!N33)=TRUE," ",Input!N33)</f>
        <v xml:space="preserve"> </v>
      </c>
      <c r="F10" s="18">
        <v>12</v>
      </c>
      <c r="G10" s="27"/>
      <c r="H10" s="27"/>
      <c r="I10" s="27">
        <f>Input!T33</f>
        <v>1</v>
      </c>
    </row>
    <row r="11" spans="1:11" ht="12" customHeight="1">
      <c r="A11" s="27"/>
      <c r="B11" s="17">
        <v>13</v>
      </c>
      <c r="C11" s="19" t="str">
        <f>IF(ISBLANK(Input!D34)=TRUE," ",Input!D34)</f>
        <v xml:space="preserve"> </v>
      </c>
      <c r="D11" s="18" t="str">
        <f>Input!I35</f>
        <v>L2</v>
      </c>
      <c r="E11" s="19" t="str">
        <f>IF(ISBLANK(Input!N34)=TRUE," ",Input!N34)</f>
        <v xml:space="preserve"> PINK CELLS ARE</v>
      </c>
      <c r="F11" s="18">
        <v>14</v>
      </c>
      <c r="G11" s="27"/>
      <c r="H11" s="27"/>
      <c r="I11" s="27">
        <f>Input!T34</f>
        <v>1</v>
      </c>
    </row>
    <row r="12" spans="1:11" ht="12" customHeight="1">
      <c r="A12" s="27"/>
      <c r="B12" s="17">
        <v>15</v>
      </c>
      <c r="C12" s="19" t="str">
        <f>IF(ISBLANK(Input!D35)=TRUE," ",Input!D35)</f>
        <v xml:space="preserve"> </v>
      </c>
      <c r="D12" s="18" t="str">
        <f>Input!I36</f>
        <v>L3</v>
      </c>
      <c r="E12" s="19" t="str">
        <f>IF(ISBLANK(Input!N35)=TRUE," ",Input!N35)</f>
        <v>PROTECTED IN DEMO</v>
      </c>
      <c r="F12" s="18">
        <v>16</v>
      </c>
      <c r="G12" s="27"/>
      <c r="H12" s="27"/>
      <c r="I12" s="27">
        <f>Input!T35</f>
        <v>1</v>
      </c>
    </row>
    <row r="13" spans="1:11" ht="12" customHeight="1">
      <c r="A13" s="27"/>
      <c r="B13" s="17">
        <v>17</v>
      </c>
      <c r="C13" s="19" t="str">
        <f>IF(ISBLANK(Input!D36)=TRUE," ",Input!D36)</f>
        <v xml:space="preserve"> </v>
      </c>
      <c r="D13" s="18" t="str">
        <f>Input!I37</f>
        <v>L1</v>
      </c>
      <c r="E13" s="19" t="str">
        <f>IF(ISBLANK(Input!N36)=TRUE," ",Input!N36)</f>
        <v xml:space="preserve"> </v>
      </c>
      <c r="F13" s="18">
        <v>18</v>
      </c>
      <c r="G13" s="27"/>
      <c r="H13" s="27"/>
      <c r="I13" s="27">
        <f>Input!T36</f>
        <v>1</v>
      </c>
    </row>
    <row r="14" spans="1:11" ht="12" customHeight="1">
      <c r="A14" s="27"/>
      <c r="B14" s="17">
        <v>19</v>
      </c>
      <c r="C14" s="19" t="str">
        <f>IF(ISBLANK(Input!D37)=TRUE," ",Input!D37)</f>
        <v xml:space="preserve"> </v>
      </c>
      <c r="D14" s="18" t="str">
        <f>Input!I38</f>
        <v>L2</v>
      </c>
      <c r="E14" s="19" t="str">
        <f>IF(ISBLANK(Input!N37)=TRUE," ",Input!N37)</f>
        <v xml:space="preserve"> </v>
      </c>
      <c r="F14" s="18">
        <v>20</v>
      </c>
      <c r="G14" s="27"/>
      <c r="H14" s="27"/>
      <c r="I14" s="27">
        <f>Input!T37</f>
        <v>1</v>
      </c>
    </row>
    <row r="15" spans="1:11" ht="12" customHeight="1">
      <c r="A15" s="27"/>
      <c r="B15" s="17">
        <v>21</v>
      </c>
      <c r="C15" s="19" t="str">
        <f>IF(ISBLANK(Input!D38)=TRUE," ",Input!D38)</f>
        <v xml:space="preserve"> </v>
      </c>
      <c r="D15" s="18" t="str">
        <f>Input!I39</f>
        <v>L3</v>
      </c>
      <c r="E15" s="19" t="str">
        <f>IF(ISBLANK(Input!N38)=TRUE," ",Input!N38)</f>
        <v xml:space="preserve"> </v>
      </c>
      <c r="F15" s="18">
        <v>22</v>
      </c>
      <c r="G15" s="27"/>
      <c r="H15" s="27"/>
      <c r="I15" s="27">
        <f>Input!T38</f>
        <v>1</v>
      </c>
    </row>
    <row r="16" spans="1:11" ht="12" customHeight="1">
      <c r="A16" s="27"/>
      <c r="B16" s="17">
        <v>23</v>
      </c>
      <c r="C16" s="19" t="str">
        <f>IF(ISBLANK(Input!D39)=TRUE," ",Input!D39)</f>
        <v xml:space="preserve"> </v>
      </c>
      <c r="D16" s="18" t="str">
        <f>Input!I40</f>
        <v>L1</v>
      </c>
      <c r="E16" s="19" t="str">
        <f>IF(ISBLANK(Input!N39)=TRUE," ",Input!N39)</f>
        <v xml:space="preserve"> </v>
      </c>
      <c r="F16" s="18">
        <v>24</v>
      </c>
      <c r="G16" s="27"/>
      <c r="H16" s="27"/>
      <c r="I16" s="27">
        <f>Input!T39</f>
        <v>1</v>
      </c>
    </row>
    <row r="17" spans="1:9" ht="12" customHeight="1">
      <c r="A17" s="27"/>
      <c r="B17" s="17">
        <v>25</v>
      </c>
      <c r="C17" s="19" t="str">
        <f>IF(ISBLANK(Input!D40)=TRUE," ",Input!D40)</f>
        <v xml:space="preserve"> </v>
      </c>
      <c r="D17" s="18" t="str">
        <f>Input!I41</f>
        <v>L2</v>
      </c>
      <c r="E17" s="19" t="str">
        <f>IF(ISBLANK(Input!N40)=TRUE," ",Input!N40)</f>
        <v xml:space="preserve"> </v>
      </c>
      <c r="F17" s="18">
        <v>26</v>
      </c>
      <c r="G17" s="27"/>
      <c r="H17" s="27"/>
      <c r="I17" s="27">
        <f>Input!T40</f>
        <v>1</v>
      </c>
    </row>
    <row r="18" spans="1:9" ht="12" customHeight="1">
      <c r="A18" s="27"/>
      <c r="B18" s="17">
        <v>27</v>
      </c>
      <c r="C18" s="19" t="str">
        <f>IF(ISBLANK(Input!D41)=TRUE," ",Input!D41)</f>
        <v xml:space="preserve"> </v>
      </c>
      <c r="D18" s="18" t="str">
        <f>Input!I42</f>
        <v>L3</v>
      </c>
      <c r="E18" s="19" t="str">
        <f>IF(ISBLANK(Input!N41)=TRUE," ",Input!N41)</f>
        <v xml:space="preserve"> </v>
      </c>
      <c r="F18" s="18">
        <v>28</v>
      </c>
      <c r="G18" s="27"/>
      <c r="H18" s="27"/>
      <c r="I18" s="27">
        <f>Input!T41</f>
        <v>1</v>
      </c>
    </row>
    <row r="19" spans="1:9" ht="12" customHeight="1">
      <c r="A19" s="27"/>
      <c r="B19" s="17">
        <v>29</v>
      </c>
      <c r="C19" s="19" t="str">
        <f>IF(ISBLANK(Input!D42)=TRUE," ",Input!D42)</f>
        <v xml:space="preserve"> </v>
      </c>
      <c r="D19" s="18" t="str">
        <f>Input!I43</f>
        <v>L1</v>
      </c>
      <c r="E19" s="19" t="str">
        <f>IF(ISBLANK(Input!N42)=TRUE," ",Input!N42)</f>
        <v xml:space="preserve"> </v>
      </c>
      <c r="F19" s="18">
        <v>30</v>
      </c>
      <c r="G19" s="27"/>
      <c r="H19" s="27"/>
      <c r="I19" s="27">
        <f>Input!T42</f>
        <v>1</v>
      </c>
    </row>
    <row r="20" spans="1:9" ht="12" customHeight="1">
      <c r="A20" s="27"/>
      <c r="B20" s="17">
        <v>31</v>
      </c>
      <c r="C20" s="19" t="str">
        <f>IF(ISBLANK(Input!D43)=TRUE," ",Input!D43)</f>
        <v xml:space="preserve"> </v>
      </c>
      <c r="D20" s="18" t="str">
        <f>Input!I44</f>
        <v>L2</v>
      </c>
      <c r="E20" s="19" t="str">
        <f>IF(ISBLANK(Input!N43)=TRUE," ",Input!N43)</f>
        <v xml:space="preserve"> </v>
      </c>
      <c r="F20" s="18">
        <v>32</v>
      </c>
      <c r="G20" s="27"/>
      <c r="H20" s="27"/>
      <c r="I20" s="27">
        <f>Input!T43</f>
        <v>1</v>
      </c>
    </row>
    <row r="21" spans="1:9" ht="12" customHeight="1">
      <c r="A21" s="27"/>
      <c r="B21" s="17">
        <v>33</v>
      </c>
      <c r="C21" s="19" t="str">
        <f>IF(ISBLANK(Input!D44)=TRUE," ",Input!D44)</f>
        <v xml:space="preserve"> </v>
      </c>
      <c r="D21" s="18" t="str">
        <f>Input!I45</f>
        <v>L3</v>
      </c>
      <c r="E21" s="19" t="str">
        <f>IF(ISBLANK(Input!N44)=TRUE," ",Input!N44)</f>
        <v xml:space="preserve"> </v>
      </c>
      <c r="F21" s="18">
        <v>34</v>
      </c>
      <c r="G21" s="27"/>
      <c r="H21" s="27"/>
      <c r="I21" s="27">
        <f>Input!T44</f>
        <v>1</v>
      </c>
    </row>
    <row r="22" spans="1:9" ht="12" customHeight="1">
      <c r="A22" s="27"/>
      <c r="B22" s="17">
        <v>35</v>
      </c>
      <c r="C22" s="19" t="str">
        <f>IF(ISBLANK(Input!D45)=TRUE," ",Input!D45)</f>
        <v xml:space="preserve"> </v>
      </c>
      <c r="D22" s="18" t="str">
        <f>Input!I46</f>
        <v>L1</v>
      </c>
      <c r="E22" s="19" t="str">
        <f>IF(ISBLANK(Input!N45)=TRUE," ",Input!N45)</f>
        <v xml:space="preserve"> </v>
      </c>
      <c r="F22" s="18">
        <v>36</v>
      </c>
      <c r="G22" s="27"/>
      <c r="H22" s="27"/>
      <c r="I22" s="27">
        <f>Input!T45</f>
        <v>1</v>
      </c>
    </row>
    <row r="23" spans="1:9" ht="12" customHeight="1">
      <c r="A23" s="27"/>
      <c r="B23" s="17">
        <v>37</v>
      </c>
      <c r="C23" s="19" t="str">
        <f>IF(ISBLANK(Input!D46)=TRUE," ",Input!D46)</f>
        <v xml:space="preserve"> </v>
      </c>
      <c r="D23" s="18" t="str">
        <f>Input!I47</f>
        <v>L2</v>
      </c>
      <c r="E23" s="19" t="str">
        <f>IF(ISBLANK(Input!N46)=TRUE," ",Input!N46)</f>
        <v xml:space="preserve"> </v>
      </c>
      <c r="F23" s="18">
        <v>38</v>
      </c>
      <c r="G23" s="27"/>
      <c r="H23" s="27"/>
      <c r="I23" s="27">
        <f>Input!T46</f>
        <v>1</v>
      </c>
    </row>
    <row r="24" spans="1:9" ht="12" customHeight="1">
      <c r="A24" s="27"/>
      <c r="B24" s="17">
        <v>39</v>
      </c>
      <c r="C24" s="19" t="str">
        <f>IF(ISBLANK(Input!D47)=TRUE," ",Input!D47)</f>
        <v xml:space="preserve"> </v>
      </c>
      <c r="D24" s="18" t="str">
        <f>Input!I48</f>
        <v>L3</v>
      </c>
      <c r="E24" s="19" t="str">
        <f>IF(ISBLANK(Input!N47)=TRUE," ",Input!N47)</f>
        <v xml:space="preserve"> </v>
      </c>
      <c r="F24" s="18">
        <v>40</v>
      </c>
      <c r="G24" s="27"/>
      <c r="H24" s="27"/>
      <c r="I24" s="27">
        <f>Input!T47</f>
        <v>1</v>
      </c>
    </row>
    <row r="25" spans="1:9" ht="12" customHeight="1">
      <c r="A25" s="27"/>
      <c r="B25" s="17">
        <v>41</v>
      </c>
      <c r="C25" s="19" t="str">
        <f>IF(ISBLANK(Input!D48)=TRUE," ",Input!D48)</f>
        <v xml:space="preserve"> </v>
      </c>
      <c r="D25" s="18" t="str">
        <f>Input!I49</f>
        <v>L1</v>
      </c>
      <c r="E25" s="19" t="str">
        <f>IF(ISBLANK(Input!N48)=TRUE," ",Input!N48)</f>
        <v xml:space="preserve"> </v>
      </c>
      <c r="F25" s="18">
        <v>42</v>
      </c>
      <c r="G25" s="27"/>
      <c r="H25" s="27"/>
      <c r="I25" s="27">
        <f>Input!T48</f>
        <v>1</v>
      </c>
    </row>
    <row r="26" spans="1:9" ht="12" customHeight="1">
      <c r="A26" s="27"/>
      <c r="B26" s="17">
        <f t="shared" ref="B26:B46" si="0">B25+2</f>
        <v>43</v>
      </c>
      <c r="C26" s="19" t="str">
        <f>IF(ISBLANK(Input!D49)=TRUE," ",Input!D49)</f>
        <v xml:space="preserve"> </v>
      </c>
      <c r="D26" s="18" t="str">
        <f>Input!I50</f>
        <v>L2</v>
      </c>
      <c r="E26" s="19" t="str">
        <f>IF(ISBLANK(Input!N49)=TRUE," ",Input!N49)</f>
        <v xml:space="preserve"> </v>
      </c>
      <c r="F26" s="18">
        <f t="shared" ref="F26:F46" si="1">F25+2</f>
        <v>44</v>
      </c>
      <c r="G26" s="27"/>
      <c r="H26" s="27"/>
      <c r="I26" s="27">
        <f>Input!T49</f>
        <v>1</v>
      </c>
    </row>
    <row r="27" spans="1:9" ht="12" customHeight="1">
      <c r="B27" s="17">
        <f t="shared" si="0"/>
        <v>45</v>
      </c>
      <c r="C27" s="19" t="str">
        <f>IF(ISBLANK(Input!D50)=TRUE," ",Input!D50)</f>
        <v xml:space="preserve"> </v>
      </c>
      <c r="D27" s="18" t="str">
        <f>Input!I51</f>
        <v>L3</v>
      </c>
      <c r="E27" s="19" t="str">
        <f>IF(ISBLANK(Input!N50)=TRUE," ",Input!N50)</f>
        <v xml:space="preserve"> </v>
      </c>
      <c r="F27" s="18">
        <f t="shared" si="1"/>
        <v>46</v>
      </c>
      <c r="I27" s="27">
        <f>Input!T50</f>
        <v>1</v>
      </c>
    </row>
    <row r="28" spans="1:9" ht="12" customHeight="1">
      <c r="B28" s="17">
        <f t="shared" si="0"/>
        <v>47</v>
      </c>
      <c r="C28" s="19" t="str">
        <f>IF(ISBLANK(Input!D51)=TRUE," ",Input!D51)</f>
        <v xml:space="preserve"> </v>
      </c>
      <c r="D28" s="18" t="str">
        <f>Input!I52</f>
        <v>L1</v>
      </c>
      <c r="E28" s="19" t="str">
        <f>IF(ISBLANK(Input!N51)=TRUE," ",Input!N51)</f>
        <v xml:space="preserve"> </v>
      </c>
      <c r="F28" s="18">
        <f t="shared" si="1"/>
        <v>48</v>
      </c>
      <c r="I28" s="27">
        <f>Input!T51</f>
        <v>1</v>
      </c>
    </row>
    <row r="29" spans="1:9" ht="12" customHeight="1">
      <c r="B29" s="17">
        <f t="shared" si="0"/>
        <v>49</v>
      </c>
      <c r="C29" s="19" t="str">
        <f>IF(ISBLANK(Input!D52)=TRUE," ",Input!D52)</f>
        <v xml:space="preserve"> </v>
      </c>
      <c r="D29" s="18" t="str">
        <f>Input!I53</f>
        <v>L2</v>
      </c>
      <c r="E29" s="19" t="str">
        <f>IF(ISBLANK(Input!N52)=TRUE," ",Input!N52)</f>
        <v xml:space="preserve"> </v>
      </c>
      <c r="F29" s="18">
        <f t="shared" si="1"/>
        <v>50</v>
      </c>
      <c r="I29" s="27">
        <f>Input!T52</f>
        <v>1</v>
      </c>
    </row>
    <row r="30" spans="1:9" ht="12" customHeight="1">
      <c r="B30" s="17">
        <f t="shared" si="0"/>
        <v>51</v>
      </c>
      <c r="C30" s="19" t="str">
        <f>IF(ISBLANK(Input!D53)=TRUE," ",Input!D53)</f>
        <v xml:space="preserve"> </v>
      </c>
      <c r="D30" s="18" t="str">
        <f>Input!I54</f>
        <v>L3</v>
      </c>
      <c r="E30" s="19" t="str">
        <f>IF(ISBLANK(Input!N53)=TRUE," ",Input!N53)</f>
        <v xml:space="preserve"> </v>
      </c>
      <c r="F30" s="18">
        <f t="shared" si="1"/>
        <v>52</v>
      </c>
      <c r="I30" s="27">
        <f>Input!T53</f>
        <v>1</v>
      </c>
    </row>
    <row r="31" spans="1:9" ht="12" customHeight="1">
      <c r="B31" s="17">
        <f t="shared" si="0"/>
        <v>53</v>
      </c>
      <c r="C31" s="19" t="str">
        <f>IF(ISBLANK(Input!D54)=TRUE," ",Input!D54)</f>
        <v xml:space="preserve"> </v>
      </c>
      <c r="D31" s="18" t="str">
        <f>Input!I55</f>
        <v>L1</v>
      </c>
      <c r="E31" s="19" t="str">
        <f>IF(ISBLANK(Input!N54)=TRUE," ",Input!N54)</f>
        <v xml:space="preserve"> </v>
      </c>
      <c r="F31" s="18">
        <f t="shared" si="1"/>
        <v>54</v>
      </c>
      <c r="I31" s="27">
        <f>Input!T54</f>
        <v>1</v>
      </c>
    </row>
    <row r="32" spans="1:9" ht="12" customHeight="1">
      <c r="B32" s="17">
        <f t="shared" si="0"/>
        <v>55</v>
      </c>
      <c r="C32" s="19" t="str">
        <f>IF(ISBLANK(Input!D55)=TRUE," ",Input!D55)</f>
        <v xml:space="preserve"> </v>
      </c>
      <c r="D32" s="18" t="str">
        <f>Input!I56</f>
        <v>L2</v>
      </c>
      <c r="E32" s="19" t="str">
        <f>IF(ISBLANK(Input!N55)=TRUE," ",Input!N55)</f>
        <v xml:space="preserve"> </v>
      </c>
      <c r="F32" s="18">
        <f t="shared" si="1"/>
        <v>56</v>
      </c>
      <c r="I32" s="27">
        <f>Input!T55</f>
        <v>1</v>
      </c>
    </row>
    <row r="33" spans="1:9" ht="12" customHeight="1">
      <c r="B33" s="17">
        <f t="shared" si="0"/>
        <v>57</v>
      </c>
      <c r="C33" s="19" t="str">
        <f>IF(ISBLANK(Input!D56)=TRUE," ",Input!D56)</f>
        <v xml:space="preserve"> </v>
      </c>
      <c r="D33" s="18" t="str">
        <f>Input!I57</f>
        <v>L3</v>
      </c>
      <c r="E33" s="19" t="str">
        <f>IF(ISBLANK(Input!N56)=TRUE," ",Input!N56)</f>
        <v xml:space="preserve"> </v>
      </c>
      <c r="F33" s="18">
        <f t="shared" si="1"/>
        <v>58</v>
      </c>
      <c r="I33" s="27">
        <f>Input!T56</f>
        <v>1</v>
      </c>
    </row>
    <row r="34" spans="1:9" ht="12" customHeight="1">
      <c r="B34" s="17">
        <f t="shared" si="0"/>
        <v>59</v>
      </c>
      <c r="C34" s="19" t="str">
        <f>IF(ISBLANK(Input!D57)=TRUE," ",Input!D57)</f>
        <v xml:space="preserve"> </v>
      </c>
      <c r="D34" s="18" t="str">
        <f>Input!I58</f>
        <v>L1</v>
      </c>
      <c r="E34" s="19" t="str">
        <f>IF(ISBLANK(Input!N57)=TRUE," ",Input!N57)</f>
        <v xml:space="preserve"> </v>
      </c>
      <c r="F34" s="18">
        <f t="shared" si="1"/>
        <v>60</v>
      </c>
      <c r="I34" s="27">
        <f>Input!T57</f>
        <v>1</v>
      </c>
    </row>
    <row r="35" spans="1:9" ht="12" customHeight="1">
      <c r="B35" s="17">
        <f t="shared" si="0"/>
        <v>61</v>
      </c>
      <c r="C35" s="19" t="str">
        <f>IF(ISBLANK(Input!D58)=TRUE," ",Input!D58)</f>
        <v xml:space="preserve"> </v>
      </c>
      <c r="D35" s="18" t="str">
        <f>Input!I59</f>
        <v>L2</v>
      </c>
      <c r="E35" s="19" t="str">
        <f>IF(ISBLANK(Input!N58)=TRUE," ",Input!N58)</f>
        <v xml:space="preserve"> </v>
      </c>
      <c r="F35" s="18">
        <f t="shared" si="1"/>
        <v>62</v>
      </c>
      <c r="I35" s="27">
        <f>Input!T58</f>
        <v>1</v>
      </c>
    </row>
    <row r="36" spans="1:9" ht="12" customHeight="1">
      <c r="B36" s="17">
        <f t="shared" si="0"/>
        <v>63</v>
      </c>
      <c r="C36" s="19" t="str">
        <f>IF(ISBLANK(Input!D59)=TRUE," ",Input!D59)</f>
        <v xml:space="preserve"> </v>
      </c>
      <c r="D36" s="18" t="str">
        <f>Input!I60</f>
        <v>L3</v>
      </c>
      <c r="E36" s="19" t="str">
        <f>IF(ISBLANK(Input!N59)=TRUE," ",Input!N59)</f>
        <v xml:space="preserve"> </v>
      </c>
      <c r="F36" s="18">
        <f t="shared" si="1"/>
        <v>64</v>
      </c>
      <c r="I36" s="27">
        <f>Input!T59</f>
        <v>1</v>
      </c>
    </row>
    <row r="37" spans="1:9" ht="12" customHeight="1">
      <c r="B37" s="17">
        <f t="shared" si="0"/>
        <v>65</v>
      </c>
      <c r="C37" s="19" t="str">
        <f>IF(ISBLANK(Input!D60)=TRUE," ",Input!D60)</f>
        <v xml:space="preserve"> </v>
      </c>
      <c r="D37" s="18" t="str">
        <f>Input!I61</f>
        <v>L1</v>
      </c>
      <c r="E37" s="19" t="str">
        <f>IF(ISBLANK(Input!N60)=TRUE," ",Input!N60)</f>
        <v xml:space="preserve"> </v>
      </c>
      <c r="F37" s="18">
        <f t="shared" si="1"/>
        <v>66</v>
      </c>
      <c r="I37" s="27">
        <f>Input!T60</f>
        <v>1</v>
      </c>
    </row>
    <row r="38" spans="1:9" ht="12" customHeight="1">
      <c r="B38" s="17">
        <f t="shared" si="0"/>
        <v>67</v>
      </c>
      <c r="C38" s="19" t="str">
        <f>IF(ISBLANK(Input!D61)=TRUE," ",Input!D61)</f>
        <v xml:space="preserve"> </v>
      </c>
      <c r="D38" s="18" t="str">
        <f>Input!I62</f>
        <v>L2</v>
      </c>
      <c r="E38" s="19" t="str">
        <f>IF(ISBLANK(Input!N61)=TRUE," ",Input!N61)</f>
        <v xml:space="preserve"> </v>
      </c>
      <c r="F38" s="18">
        <f t="shared" si="1"/>
        <v>68</v>
      </c>
      <c r="I38" s="27">
        <f>Input!T61</f>
        <v>1</v>
      </c>
    </row>
    <row r="39" spans="1:9" ht="12" customHeight="1">
      <c r="B39" s="17">
        <f t="shared" si="0"/>
        <v>69</v>
      </c>
      <c r="C39" s="19" t="str">
        <f>IF(ISBLANK(Input!D62)=TRUE," ",Input!D62)</f>
        <v xml:space="preserve"> </v>
      </c>
      <c r="D39" s="18" t="str">
        <f>Input!I63</f>
        <v>L3</v>
      </c>
      <c r="E39" s="19" t="str">
        <f>IF(ISBLANK(Input!N62)=TRUE," ",Input!N62)</f>
        <v xml:space="preserve"> </v>
      </c>
      <c r="F39" s="18">
        <f t="shared" si="1"/>
        <v>70</v>
      </c>
      <c r="I39" s="27">
        <f>Input!T62</f>
        <v>1</v>
      </c>
    </row>
    <row r="40" spans="1:9" ht="12" customHeight="1">
      <c r="A40" s="22"/>
      <c r="B40" s="17">
        <f t="shared" si="0"/>
        <v>71</v>
      </c>
      <c r="C40" s="19" t="str">
        <f>IF(ISBLANK(Input!D63)=TRUE," ",Input!D63)</f>
        <v xml:space="preserve"> </v>
      </c>
      <c r="D40" s="18" t="str">
        <f>Input!I64</f>
        <v>L1</v>
      </c>
      <c r="E40" s="19" t="str">
        <f>IF(ISBLANK(Input!N63)=TRUE," ",Input!N63)</f>
        <v xml:space="preserve"> </v>
      </c>
      <c r="F40" s="18">
        <f t="shared" si="1"/>
        <v>72</v>
      </c>
      <c r="G40" s="22"/>
      <c r="H40" s="22"/>
      <c r="I40" s="27">
        <f>Input!T63</f>
        <v>1</v>
      </c>
    </row>
    <row r="41" spans="1:9" s="22" customFormat="1" ht="12" customHeight="1">
      <c r="B41" s="17">
        <f t="shared" si="0"/>
        <v>73</v>
      </c>
      <c r="C41" s="19" t="str">
        <f>IF(ISBLANK(Input!D64)=TRUE," ",Input!D64)</f>
        <v xml:space="preserve"> </v>
      </c>
      <c r="D41" s="18" t="str">
        <f>Input!I65</f>
        <v>L2</v>
      </c>
      <c r="E41" s="19" t="str">
        <f>IF(ISBLANK(Input!N64)=TRUE," ",Input!N64)</f>
        <v xml:space="preserve"> </v>
      </c>
      <c r="F41" s="18">
        <f t="shared" si="1"/>
        <v>74</v>
      </c>
      <c r="I41" s="27">
        <f>Input!T64</f>
        <v>1</v>
      </c>
    </row>
    <row r="42" spans="1:9" s="22" customFormat="1" ht="12" customHeight="1">
      <c r="A42" s="1"/>
      <c r="B42" s="17">
        <f t="shared" si="0"/>
        <v>75</v>
      </c>
      <c r="C42" s="19" t="str">
        <f>IF(ISBLANK(Input!D65)=TRUE," ",Input!D65)</f>
        <v xml:space="preserve"> </v>
      </c>
      <c r="D42" s="18" t="str">
        <f>Input!I66</f>
        <v>L3</v>
      </c>
      <c r="E42" s="19" t="str">
        <f>IF(ISBLANK(Input!N65)=TRUE," ",Input!N65)</f>
        <v xml:space="preserve"> </v>
      </c>
      <c r="F42" s="18">
        <f t="shared" si="1"/>
        <v>76</v>
      </c>
      <c r="G42" s="1"/>
      <c r="H42" s="1"/>
      <c r="I42" s="27">
        <f>Input!T65</f>
        <v>1</v>
      </c>
    </row>
    <row r="43" spans="1:9" ht="12" customHeight="1">
      <c r="B43" s="17">
        <f t="shared" si="0"/>
        <v>77</v>
      </c>
      <c r="C43" s="19" t="str">
        <f>IF(ISBLANK(Input!D66)=TRUE," ",Input!D66)</f>
        <v xml:space="preserve"> </v>
      </c>
      <c r="D43" s="18" t="str">
        <f>Input!I67</f>
        <v>L1</v>
      </c>
      <c r="E43" s="19" t="str">
        <f>IF(ISBLANK(Input!N66)=TRUE," ",Input!N66)</f>
        <v xml:space="preserve"> </v>
      </c>
      <c r="F43" s="18">
        <f t="shared" si="1"/>
        <v>78</v>
      </c>
      <c r="I43" s="27">
        <f>Input!T66</f>
        <v>1</v>
      </c>
    </row>
    <row r="44" spans="1:9" ht="12" customHeight="1">
      <c r="B44" s="17">
        <f t="shared" si="0"/>
        <v>79</v>
      </c>
      <c r="C44" s="19" t="str">
        <f>IF(ISBLANK(Input!D67)=TRUE," ",Input!D67)</f>
        <v xml:space="preserve"> </v>
      </c>
      <c r="D44" s="18" t="str">
        <f>Input!I68</f>
        <v>L2</v>
      </c>
      <c r="E44" s="19" t="str">
        <f>IF(ISBLANK(Input!N67)=TRUE," ",Input!N67)</f>
        <v xml:space="preserve"> </v>
      </c>
      <c r="F44" s="18">
        <f t="shared" si="1"/>
        <v>80</v>
      </c>
      <c r="I44" s="27">
        <f>Input!T67</f>
        <v>1</v>
      </c>
    </row>
    <row r="45" spans="1:9" ht="12" customHeight="1">
      <c r="B45" s="17">
        <f t="shared" si="0"/>
        <v>81</v>
      </c>
      <c r="C45" s="19" t="str">
        <f>IF(ISBLANK(Input!D68)=TRUE," ",Input!D68)</f>
        <v xml:space="preserve"> </v>
      </c>
      <c r="D45" s="18" t="str">
        <f>Input!I69</f>
        <v>L3</v>
      </c>
      <c r="E45" s="19" t="str">
        <f>IF(ISBLANK(Input!N68)=TRUE," ",Input!N68)</f>
        <v xml:space="preserve"> </v>
      </c>
      <c r="F45" s="18">
        <f t="shared" si="1"/>
        <v>82</v>
      </c>
      <c r="I45" s="27">
        <f>Input!T68</f>
        <v>1</v>
      </c>
    </row>
    <row r="46" spans="1:9" ht="12" customHeight="1">
      <c r="B46" s="17">
        <f t="shared" si="0"/>
        <v>83</v>
      </c>
      <c r="C46" s="19" t="str">
        <f>IF(ISBLANK(Input!D69)=TRUE," ",Input!D69)</f>
        <v xml:space="preserve"> </v>
      </c>
      <c r="D46" s="18">
        <f>Input!I70</f>
        <v>0</v>
      </c>
      <c r="E46" s="19" t="str">
        <f>IF(ISBLANK(Input!N69)=TRUE," ",Input!N69)</f>
        <v xml:space="preserve"> </v>
      </c>
      <c r="F46" s="18">
        <f t="shared" si="1"/>
        <v>84</v>
      </c>
      <c r="I46" s="27">
        <f>Input!T69</f>
        <v>1</v>
      </c>
    </row>
    <row r="47" spans="1:9" ht="12" customHeight="1"/>
    <row r="48" spans="1:9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</sheetData>
  <sheetProtection password="DC0A" sheet="1" objects="1" scenarios="1"/>
  <phoneticPr fontId="0" type="noConversion"/>
  <conditionalFormatting sqref="A1:A47 B1:B2 B4 G1:G47 C1:F4 B47:F47">
    <cfRule type="expression" dxfId="199" priority="1" stopIfTrue="1">
      <formula>IF($I$2&gt;0,TRUE,FALSE)</formula>
    </cfRule>
  </conditionalFormatting>
  <conditionalFormatting sqref="B5:F46">
    <cfRule type="expression" dxfId="198" priority="2" stopIfTrue="1">
      <formula>IF($I$2&gt;0,TRUE,FALSE)</formula>
    </cfRule>
    <cfRule type="expression" dxfId="197" priority="3" stopIfTrue="1">
      <formula>IF($I5=0,TRUE,FALSE)</formula>
    </cfRule>
  </conditionalFormatting>
  <conditionalFormatting sqref="B3">
    <cfRule type="expression" dxfId="196" priority="4" stopIfTrue="1">
      <formula>IF(I2&gt;0,TRUE,FALSE)</formula>
    </cfRule>
  </conditionalFormatting>
  <pageMargins left="0.5" right="0" top="0.5" bottom="0" header="0" footer="0"/>
  <pageSetup scale="90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30"/>
  <sheetViews>
    <sheetView showGridLines="0" showRowColHeaders="0" showOutlineSymbols="0" workbookViewId="0"/>
  </sheetViews>
  <sheetFormatPr defaultColWidth="0" defaultRowHeight="11.25" zeroHeight="1"/>
  <cols>
    <col min="1" max="1" width="2.33203125" style="1" customWidth="1"/>
    <col min="2" max="2" width="3.83203125" style="1" customWidth="1"/>
    <col min="3" max="3" width="11.83203125" style="1" customWidth="1"/>
    <col min="4" max="4" width="24.83203125" style="1" customWidth="1"/>
    <col min="5" max="7" width="2.83203125" style="1" customWidth="1"/>
    <col min="8" max="8" width="8.83203125" style="1" customWidth="1"/>
    <col min="9" max="9" width="3.83203125" style="1" customWidth="1"/>
    <col min="10" max="10" width="8.83203125" style="1" customWidth="1"/>
    <col min="11" max="13" width="2.83203125" style="1" customWidth="1"/>
    <col min="14" max="14" width="24.83203125" style="1" customWidth="1"/>
    <col min="15" max="15" width="11.83203125" style="1" customWidth="1"/>
    <col min="16" max="16" width="3.83203125" style="1" customWidth="1"/>
    <col min="17" max="17" width="2.33203125" style="1" customWidth="1"/>
    <col min="18" max="18" width="10.83203125" style="1" hidden="1" customWidth="1"/>
    <col min="19" max="19" width="10.83203125" style="133" hidden="1" customWidth="1"/>
    <col min="20" max="21" width="10.83203125" style="126" hidden="1" customWidth="1"/>
    <col min="22" max="22" width="10.83203125" style="1" hidden="1" customWidth="1"/>
    <col min="23" max="31" width="10.83203125" style="133" hidden="1" customWidth="1"/>
    <col min="32" max="43" width="10.83203125" style="126" hidden="1" customWidth="1"/>
    <col min="44" max="52" width="10.83203125" style="133" hidden="1" customWidth="1"/>
    <col min="53" max="58" width="10.83203125" style="151" hidden="1" customWidth="1"/>
    <col min="59" max="62" width="10.83203125" style="133" hidden="1" customWidth="1"/>
    <col min="63" max="75" width="10.83203125" style="151" hidden="1" customWidth="1"/>
    <col min="76" max="76" width="10.83203125" style="1" hidden="1" customWidth="1"/>
    <col min="77" max="78" width="10.83203125" style="127" hidden="1" customWidth="1"/>
    <col min="79" max="79" width="10.83203125" style="128" hidden="1" customWidth="1"/>
    <col min="80" max="81" width="10.83203125" style="129" hidden="1" customWidth="1"/>
    <col min="82" max="82" width="32.6640625" style="127" hidden="1" customWidth="1"/>
    <col min="83" max="85" width="10.83203125" style="127" hidden="1" customWidth="1"/>
    <col min="86" max="87" width="10.83203125" style="129" hidden="1" customWidth="1"/>
    <col min="88" max="94" width="10.83203125" style="127" hidden="1" customWidth="1"/>
    <col min="95" max="95" width="10.83203125" style="16" hidden="1" customWidth="1"/>
    <col min="96" max="162" width="10.83203125" style="1" hidden="1" customWidth="1"/>
    <col min="163" max="178" width="10.83203125" style="334" hidden="1" customWidth="1"/>
    <col min="179" max="179" width="10.83203125" style="359" hidden="1" customWidth="1"/>
    <col min="180" max="235" width="10.83203125" style="1" hidden="1" customWidth="1"/>
    <col min="236" max="16384" width="0" style="1" hidden="1"/>
  </cols>
  <sheetData>
    <row r="1" spans="1:207">
      <c r="A1" s="92"/>
      <c r="B1" s="119" t="s">
        <v>984</v>
      </c>
      <c r="C1" s="114"/>
      <c r="D1" s="92"/>
      <c r="E1" s="92"/>
      <c r="F1" s="92"/>
      <c r="G1" s="92"/>
      <c r="H1" s="92"/>
      <c r="I1" s="115" t="s">
        <v>227</v>
      </c>
      <c r="J1" s="92"/>
      <c r="K1" s="92"/>
      <c r="L1" s="92"/>
      <c r="M1" s="92"/>
      <c r="N1" s="92"/>
      <c r="O1" s="92"/>
      <c r="P1" s="92"/>
      <c r="Q1" s="92"/>
      <c r="W1" s="133" t="s">
        <v>234</v>
      </c>
      <c r="CT1" s="1" t="s">
        <v>362</v>
      </c>
    </row>
    <row r="2" spans="1:207" ht="12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W2" s="148" t="str">
        <f>D3</f>
        <v>HP2</v>
      </c>
      <c r="CE2" s="127" t="s">
        <v>960</v>
      </c>
      <c r="CG2" s="127">
        <v>0</v>
      </c>
      <c r="CS2" s="1" t="s">
        <v>12</v>
      </c>
      <c r="CT2" s="1" t="str">
        <f>IF(DA54=1,"",DA54)</f>
        <v/>
      </c>
      <c r="CU2" s="1" t="str">
        <f>IF(DA54=1,""," - ")</f>
        <v/>
      </c>
      <c r="CV2" s="1" t="str">
        <f>CV33</f>
        <v>3/4''</v>
      </c>
      <c r="CW2" s="1" t="s">
        <v>12</v>
      </c>
      <c r="CX2" s="1" t="str">
        <f>EK25</f>
        <v>EMT</v>
      </c>
      <c r="CY2" s="1" t="s">
        <v>360</v>
      </c>
      <c r="CZ2" s="1">
        <f>CZ10</f>
        <v>4</v>
      </c>
      <c r="DA2" s="1" t="s">
        <v>361</v>
      </c>
      <c r="DB2" s="1" t="str">
        <f>CY54</f>
        <v>#6</v>
      </c>
      <c r="DC2" s="1" t="s">
        <v>12</v>
      </c>
      <c r="DD2" s="16" t="s">
        <v>12</v>
      </c>
      <c r="DE2" s="1">
        <f>DA54</f>
        <v>1</v>
      </c>
      <c r="DF2" s="1" t="s">
        <v>304</v>
      </c>
      <c r="DG2" s="1" t="str">
        <f>IF(DE2=1,"CONDUIT","CONDUITS")</f>
        <v>CONDUIT</v>
      </c>
      <c r="DH2" s="1" t="str">
        <f>CONCATENATE(DD2,DE2,DF2,DG2)</f>
        <v xml:space="preserve"> 1 - CONDUIT</v>
      </c>
      <c r="FH2" s="334" t="s">
        <v>583</v>
      </c>
      <c r="FJ2" s="335">
        <f>J6</f>
        <v>240</v>
      </c>
      <c r="FL2" s="336" t="s">
        <v>582</v>
      </c>
      <c r="FM2" s="337" t="s">
        <v>574</v>
      </c>
      <c r="FN2" s="337" t="s">
        <v>48</v>
      </c>
      <c r="GG2" s="329" t="s">
        <v>580</v>
      </c>
    </row>
    <row r="3" spans="1:207" ht="12" customHeight="1">
      <c r="A3" s="92"/>
      <c r="B3" s="93" t="s">
        <v>770</v>
      </c>
      <c r="C3" s="94"/>
      <c r="D3" s="321" t="s">
        <v>969</v>
      </c>
      <c r="E3" s="95" t="str">
        <f>IF(CC32&gt;0,"&lt;"," ")</f>
        <v xml:space="preserve"> </v>
      </c>
      <c r="F3" s="100" t="str">
        <f>IF(CC32&gt;0," ENTER PANEL NAME"," ")</f>
        <v xml:space="preserve"> </v>
      </c>
      <c r="G3" s="94"/>
      <c r="H3" s="524"/>
      <c r="I3" s="94"/>
      <c r="J3" s="325"/>
      <c r="K3" s="94" t="str">
        <f>IF(CG2&gt;0," ",IF(AND(H9="ROMEX",H8="3Y",CC30&lt;&gt;24)," ROMEX IS NOT AVAILABLE IN 4-CONDUCTOR",IF(AND(H9="SER",H8="3Y",H15="CU",CC30&lt;&gt;24),"4-CONDUCTOR SER CABLE IS NOT AVAILABLE IN COPPER"," ")))</f>
        <v xml:space="preserve"> </v>
      </c>
      <c r="L3" s="94"/>
      <c r="M3" s="94"/>
      <c r="N3" s="232"/>
      <c r="O3" s="621"/>
      <c r="P3" s="96"/>
      <c r="Q3" s="98"/>
      <c r="T3" s="131" t="str">
        <f>H24</f>
        <v>Y</v>
      </c>
      <c r="W3" s="133" t="s">
        <v>235</v>
      </c>
      <c r="BY3" s="130"/>
      <c r="BZ3" s="130"/>
      <c r="CT3" s="1" t="str">
        <f>IF(CT2=1,"CONDUIT","CONDUITS")</f>
        <v>CONDUITS</v>
      </c>
      <c r="CU3" s="1" t="str">
        <f>CONCATENATE(CT2,CU2,CV2,)</f>
        <v>3/4''</v>
      </c>
      <c r="CV3" s="1" t="str">
        <f>CONCATENATE(CX2)</f>
        <v>EMT</v>
      </c>
      <c r="DD3" s="1" t="s">
        <v>12</v>
      </c>
      <c r="DE3" s="1" t="str">
        <f>CV33</f>
        <v>3/4''</v>
      </c>
      <c r="DF3" s="1" t="s">
        <v>12</v>
      </c>
      <c r="DG3" s="16" t="str">
        <f>EK25</f>
        <v>EMT</v>
      </c>
      <c r="DH3" s="1" t="str">
        <f>CONCATENATE(DD3,DE3,DF3,DG3)</f>
        <v xml:space="preserve"> 3/4'' EMT</v>
      </c>
      <c r="EF3" s="1" t="s">
        <v>255</v>
      </c>
      <c r="EG3" s="1" t="str">
        <f>H18</f>
        <v>EMT</v>
      </c>
      <c r="FH3" s="334" t="s">
        <v>573</v>
      </c>
      <c r="FJ3" s="335">
        <f>H6</f>
        <v>240</v>
      </c>
      <c r="FL3" s="338"/>
      <c r="FM3" s="339"/>
      <c r="FN3" s="340"/>
      <c r="FP3" s="335"/>
      <c r="FQ3" s="335"/>
      <c r="FR3" s="345">
        <f>IF(H4="AUTO",0,IF(D4="TRANSFORMER (1-PHASE)",VLOOKUP(FM3,FH17:FI26,2),IF(D4="TRANSFORMER (3-PHASE)",VLOOKUP(FM3,FL17:FM26,2),0)))</f>
        <v>0</v>
      </c>
      <c r="GG3" s="1" t="s">
        <v>255</v>
      </c>
      <c r="GH3" s="16">
        <f>J18</f>
        <v>0</v>
      </c>
      <c r="GK3" s="329" t="s">
        <v>580</v>
      </c>
    </row>
    <row r="4" spans="1:207" ht="12" customHeight="1">
      <c r="A4" s="92"/>
      <c r="B4" s="99" t="s">
        <v>6</v>
      </c>
      <c r="C4" s="94"/>
      <c r="D4" s="620" t="str">
        <f>Input!D3</f>
        <v>CP1</v>
      </c>
      <c r="E4" s="94"/>
      <c r="F4" s="94"/>
      <c r="G4" s="101"/>
      <c r="H4" s="616" t="s">
        <v>414</v>
      </c>
      <c r="I4" s="94"/>
      <c r="J4" s="325"/>
      <c r="K4" s="94" t="str">
        <f>IF(CG2&gt;0," ",IF(S4="NONE"," THIS SUB PANEL IS NOT BEING USED",IF(AND('S-Sec Cable'!M18="EXCEED",CC30&lt;&gt;24),'S-Sec Cable'!J23," ")))</f>
        <v xml:space="preserve"> THIS SUB PANEL IS NOT BEING USED</v>
      </c>
      <c r="L4" s="94"/>
      <c r="M4" s="94"/>
      <c r="N4" s="97"/>
      <c r="O4" s="618"/>
      <c r="P4" s="231"/>
      <c r="Q4" s="98"/>
      <c r="S4" s="133" t="str">
        <f>Input!O15</f>
        <v>NONE</v>
      </c>
      <c r="T4" s="131" t="s">
        <v>477</v>
      </c>
      <c r="W4" s="133" t="str">
        <f>CONCATENATE(W1,W2,W3)</f>
        <v>LOAD CALCULATIONS FOR "PANEL HP2"</v>
      </c>
      <c r="BY4" s="142" t="e">
        <f>VLOOKUP(CB44,CA7:CD44,4)</f>
        <v>#N/A</v>
      </c>
      <c r="BZ4" s="130"/>
      <c r="CA4" s="131"/>
      <c r="CB4" s="132" t="s">
        <v>3</v>
      </c>
      <c r="CC4" s="132"/>
      <c r="CD4" s="133"/>
      <c r="CE4" s="133"/>
      <c r="CF4" s="133"/>
      <c r="CG4" s="133"/>
      <c r="CH4" s="132"/>
      <c r="CI4" s="132"/>
      <c r="CJ4" s="133"/>
      <c r="CK4" s="133"/>
      <c r="CL4" s="133"/>
      <c r="CM4" s="133"/>
      <c r="CN4" s="133"/>
      <c r="CO4" s="133"/>
      <c r="CP4" s="133"/>
      <c r="CQ4" s="1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N4" s="22"/>
      <c r="DV4" s="45" t="s">
        <v>4</v>
      </c>
      <c r="DX4" s="1" t="s">
        <v>580</v>
      </c>
      <c r="DY4" s="22"/>
      <c r="DZ4" s="22"/>
      <c r="EA4" s="22"/>
      <c r="EB4" s="22"/>
      <c r="EC4" s="22"/>
      <c r="ED4" s="22"/>
      <c r="EE4" s="22"/>
      <c r="EF4" s="53" t="s">
        <v>75</v>
      </c>
      <c r="EG4" s="54">
        <f>IF(EG3="GENERAL",1,0)</f>
        <v>0</v>
      </c>
      <c r="EH4" s="22"/>
      <c r="EJ4" s="45" t="s">
        <v>5</v>
      </c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FH4" s="341" t="str">
        <f>D4</f>
        <v>CP1</v>
      </c>
      <c r="FL4" s="342"/>
      <c r="FM4" s="343"/>
      <c r="FN4" s="344"/>
      <c r="FP4" s="345"/>
      <c r="FR4" s="345">
        <f>IF(H4="AUTO",0,IF(D4="TRANSFORMER (1-PHASE)",VLOOKUP(FM4,FH16:FI26,2),IF(D4="TRANSFORMER (3-PHASE)",VLOOKUP(FM4,FL17:FM26,2),0)))</f>
        <v>0</v>
      </c>
      <c r="FZ4" s="22"/>
      <c r="GA4" s="22"/>
      <c r="GB4" s="22"/>
      <c r="GC4" s="22"/>
      <c r="GD4" s="22"/>
      <c r="GE4" s="22"/>
      <c r="GF4" s="22"/>
      <c r="GG4" s="53" t="s">
        <v>75</v>
      </c>
      <c r="GH4" s="54">
        <f>IF(GH3="GENERAL",1,0)</f>
        <v>0</v>
      </c>
      <c r="GI4" s="22"/>
      <c r="GK4" s="45" t="s">
        <v>5</v>
      </c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</row>
    <row r="5" spans="1:207" ht="12" customHeight="1">
      <c r="A5" s="92"/>
      <c r="B5" s="99" t="s">
        <v>566</v>
      </c>
      <c r="C5" s="94"/>
      <c r="D5" s="100" t="str">
        <f>IF(CC7&gt;0,CD7," ")</f>
        <v xml:space="preserve"> </v>
      </c>
      <c r="E5" s="604" t="str">
        <f>IF($CK$24=1,"^",IF($CK$25=1,"^"," "))</f>
        <v xml:space="preserve"> </v>
      </c>
      <c r="F5" s="95" t="str">
        <f>IF(CC7&gt;0,"&gt;"," ")</f>
        <v xml:space="preserve"> </v>
      </c>
      <c r="G5" s="95" t="str">
        <f>IF(CC7&gt;0,"&gt;"," ")</f>
        <v xml:space="preserve"> </v>
      </c>
      <c r="H5" s="120">
        <v>84</v>
      </c>
      <c r="I5" s="94"/>
      <c r="J5" s="522" t="s">
        <v>874</v>
      </c>
      <c r="K5" s="94" t="str">
        <f>IF(CG2&gt;0," ",IF(S4="NONE"," IF YOU WISH TO USE THIS SUB PANEL GO BACK",IF(AND('S-Sec Cable'!M18="EXCEED",CC30&lt;&gt;24),'S-Sec Cable'!J24," ")))</f>
        <v xml:space="preserve"> IF YOU WISH TO USE THIS SUB PANEL GO BACK</v>
      </c>
      <c r="L5" s="94"/>
      <c r="M5" s="94"/>
      <c r="N5" s="97"/>
      <c r="O5" s="619"/>
      <c r="P5" s="96"/>
      <c r="Q5" s="98"/>
      <c r="S5" s="133">
        <f>+IF(AND('S-Sec Cable'!M18="EXCEED",CC30&lt;&gt;24),1,0)</f>
        <v>0</v>
      </c>
      <c r="T5" s="131" t="str">
        <f>IF(H24="FUSE",IF(H8=1,"L1 L2",IF(H8="3Y","L1-L3",IF(AND(H8="3D",H10="AUTO"),"L1 L3"," ")))," ")</f>
        <v xml:space="preserve"> </v>
      </c>
      <c r="BY5" s="130"/>
      <c r="BZ5" s="130"/>
      <c r="CA5" s="131"/>
      <c r="CB5" s="132" t="s">
        <v>7</v>
      </c>
      <c r="CC5" s="132"/>
      <c r="CD5" s="133" t="s">
        <v>8</v>
      </c>
      <c r="CE5" s="133"/>
      <c r="CF5" s="133"/>
      <c r="CG5" s="133"/>
      <c r="CH5" s="132"/>
      <c r="CI5" s="132"/>
      <c r="CJ5" s="133" t="str">
        <f>IF(CM11=FALSE,"USE 3-PHASE XMFR","")</f>
        <v>USE 3-PHASE XMFR</v>
      </c>
      <c r="CK5" s="133"/>
      <c r="CL5" s="133"/>
      <c r="CM5" s="133" t="b">
        <f>IF(CJ13&lt;&gt;CJ14,TRUE,FALSE)</f>
        <v>0</v>
      </c>
      <c r="CN5" s="133"/>
      <c r="CO5" s="133"/>
      <c r="CP5" s="133"/>
      <c r="CQ5" s="1"/>
      <c r="CX5" s="45" t="s">
        <v>247</v>
      </c>
      <c r="CY5" s="45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N5" s="22"/>
      <c r="DY5" s="22"/>
      <c r="DZ5" s="22"/>
      <c r="EA5" s="22"/>
      <c r="EB5" s="22"/>
      <c r="EC5" s="22"/>
      <c r="ED5" s="22"/>
      <c r="EE5" s="22"/>
      <c r="EF5" s="53" t="s">
        <v>79</v>
      </c>
      <c r="EG5" s="54">
        <f>IF(EG3="RIGID",2,0)</f>
        <v>0</v>
      </c>
      <c r="EH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FJ5" s="345"/>
      <c r="FL5" s="342"/>
      <c r="FM5" s="343"/>
      <c r="FN5" s="344"/>
      <c r="FR5" s="345"/>
      <c r="FZ5" s="22"/>
      <c r="GA5" s="22"/>
      <c r="GB5" s="22"/>
      <c r="GC5" s="22"/>
      <c r="GD5" s="22"/>
      <c r="GE5" s="22"/>
      <c r="GF5" s="22"/>
      <c r="GG5" s="53" t="s">
        <v>79</v>
      </c>
      <c r="GH5" s="54">
        <f>IF(GH3="RIGID",2,0)</f>
        <v>0</v>
      </c>
      <c r="GI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</row>
    <row r="6" spans="1:207" ht="12" customHeight="1">
      <c r="A6" s="92"/>
      <c r="B6" s="99" t="s">
        <v>10</v>
      </c>
      <c r="C6" s="94"/>
      <c r="D6" s="101" t="str">
        <f>IF(CC8&gt;0,CD8," ")</f>
        <v xml:space="preserve"> </v>
      </c>
      <c r="E6" s="604"/>
      <c r="F6" s="95"/>
      <c r="G6" s="95"/>
      <c r="H6" s="103">
        <v>240</v>
      </c>
      <c r="I6" s="94"/>
      <c r="J6" s="523">
        <f>Input!H6</f>
        <v>240</v>
      </c>
      <c r="K6" s="94" t="str">
        <f>IF(CG2&gt;0," ",IF(S4="NONE"," TO THE INPUT TAB A SELECT SUB PANEL BRK"," "))</f>
        <v xml:space="preserve"> TO THE INPUT TAB A SELECT SUB PANEL BRK</v>
      </c>
      <c r="L6" s="94"/>
      <c r="M6" s="94"/>
      <c r="N6" s="97"/>
      <c r="O6" s="622"/>
      <c r="P6" s="96"/>
      <c r="Q6" s="98"/>
      <c r="S6" s="133">
        <f>Input!S6</f>
        <v>28875</v>
      </c>
      <c r="T6" s="131" t="str">
        <f>CONCATENATE(T3,T4,T5)</f>
        <v xml:space="preserve">Y SIZE  </v>
      </c>
      <c r="BY6" s="130"/>
      <c r="BZ6" s="130"/>
      <c r="CA6" s="131"/>
      <c r="CB6" s="132"/>
      <c r="CC6" s="132"/>
      <c r="CD6" s="133"/>
      <c r="CE6" s="133" t="s">
        <v>12</v>
      </c>
      <c r="CF6" s="133"/>
      <c r="CG6" s="133"/>
      <c r="CH6" s="132"/>
      <c r="CI6" s="132"/>
      <c r="CJ6" s="133"/>
      <c r="CK6" s="133"/>
      <c r="CL6" s="133"/>
      <c r="CM6" s="133" t="b">
        <f>IF(CJ36="3Y",TRUE,IF(AND(CJ36=1,CJ7=CJ9),TRUE,FALSE))</f>
        <v>0</v>
      </c>
      <c r="CN6" s="133"/>
      <c r="CO6" s="133"/>
      <c r="CP6" s="133"/>
      <c r="CQ6" s="1"/>
      <c r="CV6" s="1" t="s">
        <v>535</v>
      </c>
      <c r="CW6" s="1" t="s">
        <v>471</v>
      </c>
      <c r="CX6" s="46" t="s">
        <v>13</v>
      </c>
      <c r="CY6" s="155" t="str">
        <f>H15</f>
        <v>AL</v>
      </c>
      <c r="CZ6" s="22"/>
      <c r="DA6" s="22"/>
      <c r="DB6" s="22"/>
      <c r="DC6" s="22"/>
      <c r="DD6" s="593" t="s">
        <v>842</v>
      </c>
      <c r="DE6" s="22"/>
      <c r="DF6" s="22" t="s">
        <v>715</v>
      </c>
      <c r="DG6" s="421"/>
      <c r="DH6" s="129">
        <f>J15</f>
        <v>0</v>
      </c>
      <c r="DI6" s="22" t="s">
        <v>842</v>
      </c>
      <c r="DJ6" s="22"/>
      <c r="DK6" s="22"/>
      <c r="DL6" s="22"/>
      <c r="DN6" s="22"/>
      <c r="DQ6" s="359"/>
      <c r="DV6" s="46" t="s">
        <v>14</v>
      </c>
      <c r="DW6" s="500">
        <f>FN7</f>
        <v>0</v>
      </c>
      <c r="DX6" s="1">
        <f>FN10*1.25</f>
        <v>0</v>
      </c>
      <c r="DY6" s="293"/>
      <c r="DZ6" s="22"/>
      <c r="EA6" s="22"/>
      <c r="EB6" s="22"/>
      <c r="EC6" s="22"/>
      <c r="ED6" s="22"/>
      <c r="EE6" s="22"/>
      <c r="EF6" s="53" t="s">
        <v>81</v>
      </c>
      <c r="EG6" s="54">
        <f>IF(EG3="EMT",3,0)</f>
        <v>3</v>
      </c>
      <c r="EH6" s="22"/>
      <c r="EJ6" s="48" t="s">
        <v>15</v>
      </c>
      <c r="EK6" s="47">
        <f>EG12</f>
        <v>3</v>
      </c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FJ6" s="346"/>
      <c r="FL6" s="347"/>
      <c r="FM6" s="348"/>
      <c r="FN6" s="349"/>
      <c r="FR6" s="345"/>
      <c r="FZ6" s="22"/>
      <c r="GA6" s="22"/>
      <c r="GB6" s="22"/>
      <c r="GC6" s="22"/>
      <c r="GD6" s="22"/>
      <c r="GE6" s="22"/>
      <c r="GF6" s="22"/>
      <c r="GG6" s="53" t="s">
        <v>81</v>
      </c>
      <c r="GH6" s="54">
        <f>IF(GH3="EMT",3,0)</f>
        <v>0</v>
      </c>
      <c r="GI6" s="22"/>
      <c r="GK6" s="48" t="s">
        <v>15</v>
      </c>
      <c r="GL6" s="47">
        <f>GH12</f>
        <v>0</v>
      </c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</row>
    <row r="7" spans="1:207" ht="12" customHeight="1">
      <c r="A7" s="92"/>
      <c r="B7" s="99" t="s">
        <v>16</v>
      </c>
      <c r="C7" s="94"/>
      <c r="D7" s="101" t="str">
        <f>IF(CC9&gt;0,CD9," ")</f>
        <v xml:space="preserve"> </v>
      </c>
      <c r="E7" s="604" t="str">
        <f>IF($CK$24=1,"^",IF($CK$25=1,"^"," "))</f>
        <v xml:space="preserve"> </v>
      </c>
      <c r="F7" s="95"/>
      <c r="G7" s="95"/>
      <c r="H7" s="103">
        <v>120</v>
      </c>
      <c r="I7" s="94"/>
      <c r="J7" s="523">
        <f>Input!H7</f>
        <v>120</v>
      </c>
      <c r="K7" s="94" t="str">
        <f>IF(S6="NO"," ","AFC AT THIS PANEL")</f>
        <v>AFC AT THIS PANEL</v>
      </c>
      <c r="L7" s="94"/>
      <c r="M7" s="94"/>
      <c r="N7" s="97"/>
      <c r="O7" s="286" t="str">
        <f>IF(Input!O6="ERROR","ERROR",IF(O10="ERROR","ERROR",'Short No-Xmfr'!H30))</f>
        <v>2,892</v>
      </c>
      <c r="P7" s="96"/>
      <c r="Q7" s="98"/>
      <c r="R7" s="643"/>
      <c r="X7" s="148"/>
      <c r="BY7" s="130"/>
      <c r="BZ7" s="130"/>
      <c r="CA7" s="131">
        <v>1</v>
      </c>
      <c r="CB7" s="129">
        <f>CC7</f>
        <v>0</v>
      </c>
      <c r="CC7" s="132">
        <f>IF(CG$2&gt;0,0,IF(S4="NONE",0,IF(H5=0,1,IF(CK26&gt;0,1,0))))</f>
        <v>0</v>
      </c>
      <c r="CD7" s="133" t="str">
        <f>IF(CK26&gt;0,"TRANSFORMER ERROR","ENTER NUMBER OF CIRCUITS")</f>
        <v>ENTER NUMBER OF CIRCUITS</v>
      </c>
      <c r="CE7" s="133"/>
      <c r="CF7" s="133"/>
      <c r="CG7" s="133"/>
      <c r="CH7" s="132"/>
      <c r="CI7" s="132"/>
      <c r="CJ7" s="148" t="str">
        <f>D4</f>
        <v>CP1</v>
      </c>
      <c r="CK7" s="133"/>
      <c r="CL7" s="133"/>
      <c r="CM7" s="133"/>
      <c r="CN7" s="133"/>
      <c r="CO7" s="133"/>
      <c r="CP7" s="133"/>
      <c r="CQ7" s="1"/>
      <c r="CV7" s="1" t="s">
        <v>393</v>
      </c>
      <c r="CW7" s="1" t="s">
        <v>48</v>
      </c>
      <c r="CX7" s="49" t="s">
        <v>18</v>
      </c>
      <c r="CY7" s="50">
        <f>H16</f>
        <v>75</v>
      </c>
      <c r="CZ7" s="129">
        <f>J16</f>
        <v>0</v>
      </c>
      <c r="DA7" s="24" t="s">
        <v>487</v>
      </c>
      <c r="DB7" s="22"/>
      <c r="DC7" s="290">
        <f>MAX(CV8:CV9)</f>
        <v>0</v>
      </c>
      <c r="DD7" s="22">
        <f>DA54</f>
        <v>1</v>
      </c>
      <c r="DE7" s="293">
        <f>DC7/DD7</f>
        <v>0</v>
      </c>
      <c r="DF7" s="22" t="s">
        <v>716</v>
      </c>
      <c r="DG7" s="422">
        <f>FN10</f>
        <v>0</v>
      </c>
      <c r="DH7" s="16"/>
      <c r="DV7" s="51" t="s">
        <v>19</v>
      </c>
      <c r="DW7" s="52">
        <f>DA54</f>
        <v>1</v>
      </c>
      <c r="DX7" s="1">
        <f>DA57</f>
        <v>1</v>
      </c>
      <c r="DY7" s="22"/>
      <c r="DZ7" s="22"/>
      <c r="EA7" s="22"/>
      <c r="EB7" s="22"/>
      <c r="EC7" s="22"/>
      <c r="ED7" s="22"/>
      <c r="EE7" s="22"/>
      <c r="EF7" s="53" t="s">
        <v>82</v>
      </c>
      <c r="EG7" s="54">
        <f>IF(EG3="IMC",4,0)</f>
        <v>0</v>
      </c>
      <c r="EH7" s="22"/>
      <c r="EJ7" s="51" t="s">
        <v>20</v>
      </c>
      <c r="EK7" s="52">
        <f>ED84</f>
        <v>0.18870000000000001</v>
      </c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FL7" s="347" t="s">
        <v>149</v>
      </c>
      <c r="FM7" s="348">
        <f>IF(D4="TRANSFORMER (1-PHASE)",FI36,IF(D4="TRANSFORMER (3-PHASE)",FL36,0))</f>
        <v>0</v>
      </c>
      <c r="FN7" s="349">
        <f>IF(D4="TRANSFORMER (1-PHASE)",FJ36,IF(D4="TRANSFORMER (3-PHASE)",FM36,IF(H8=1,FJ36,FM36)))</f>
        <v>0</v>
      </c>
      <c r="FR7" s="345"/>
      <c r="FZ7" s="22"/>
      <c r="GA7" s="22"/>
      <c r="GB7" s="22"/>
      <c r="GC7" s="22"/>
      <c r="GD7" s="22"/>
      <c r="GE7" s="22"/>
      <c r="GF7" s="22"/>
      <c r="GG7" s="53" t="s">
        <v>82</v>
      </c>
      <c r="GH7" s="54">
        <f>IF(GH3="IMC",4,0)</f>
        <v>0</v>
      </c>
      <c r="GI7" s="22"/>
      <c r="GK7" s="51" t="s">
        <v>20</v>
      </c>
      <c r="GL7" s="52">
        <f>GE84</f>
        <v>0.1014</v>
      </c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</row>
    <row r="8" spans="1:207" ht="12" customHeight="1">
      <c r="A8" s="92"/>
      <c r="B8" s="99" t="s">
        <v>21</v>
      </c>
      <c r="C8" s="94"/>
      <c r="D8" s="101" t="str">
        <f>IF(CC30&gt;0,CD30,IF(CC10=44,CD10," "))</f>
        <v xml:space="preserve"> </v>
      </c>
      <c r="E8" s="604" t="str">
        <f>IF($CK$24=1,"^",IF($CK$25=1,"^"," "))</f>
        <v xml:space="preserve"> </v>
      </c>
      <c r="F8" s="95" t="str">
        <f>IF(CC30&gt;0,"&gt;",IF(CC10=44,"&gt;"," "))</f>
        <v xml:space="preserve"> </v>
      </c>
      <c r="G8" s="95" t="str">
        <f>IF(CC30&gt;0,"&gt;",IF(CC10=44,"&gt;"," "))</f>
        <v xml:space="preserve"> </v>
      </c>
      <c r="H8" s="120">
        <v>1</v>
      </c>
      <c r="I8" s="94"/>
      <c r="J8" s="523" t="str">
        <f>IF(Input!O15="3-PHASE","3Y",IF(Input!O15="1-PHASE",1,"NONE"))</f>
        <v>NONE</v>
      </c>
      <c r="K8" s="94"/>
      <c r="L8" s="94"/>
      <c r="M8" s="94"/>
      <c r="N8" s="97"/>
      <c r="O8" s="621"/>
      <c r="P8" s="96"/>
      <c r="Q8" s="98"/>
      <c r="S8" s="133">
        <f>IF(AND(J8="3Y",H8=1),1,0)</f>
        <v>0</v>
      </c>
      <c r="BY8" s="130"/>
      <c r="BZ8" s="130"/>
      <c r="CA8" s="131">
        <v>2</v>
      </c>
      <c r="CB8" s="129">
        <f>IF(SUM(CB$7:CB7)=0,CC8,0)</f>
        <v>0</v>
      </c>
      <c r="CC8" s="132">
        <v>0</v>
      </c>
      <c r="CD8" s="133" t="s">
        <v>960</v>
      </c>
      <c r="CE8" s="133" t="s">
        <v>783</v>
      </c>
      <c r="CF8" s="127">
        <f>J6</f>
        <v>240</v>
      </c>
      <c r="CG8" s="133" t="str">
        <f>CONCATENATE(CE8,CF8)</f>
        <v>SOURCE VOTAGE IS 240</v>
      </c>
      <c r="CH8" s="132"/>
      <c r="CI8" s="132"/>
      <c r="CJ8" s="133"/>
      <c r="CK8" s="133"/>
      <c r="CL8" s="133"/>
      <c r="CM8" s="133"/>
      <c r="CN8" s="133"/>
      <c r="CO8" s="133"/>
      <c r="CP8" s="133"/>
      <c r="CQ8" s="1"/>
      <c r="CT8" s="1" t="s">
        <v>26</v>
      </c>
      <c r="CU8" s="328">
        <f>FN7</f>
        <v>0</v>
      </c>
      <c r="CV8" s="1">
        <f>'S-Calcs'!I29</f>
        <v>0</v>
      </c>
      <c r="CW8" s="1" t="str">
        <f>'S-Calcs'!O29</f>
        <v xml:space="preserve"> </v>
      </c>
      <c r="CX8" s="49" t="s">
        <v>23</v>
      </c>
      <c r="CY8" s="289">
        <f>CU9</f>
        <v>0</v>
      </c>
      <c r="CZ8" s="22"/>
      <c r="DA8" s="24" t="s">
        <v>486</v>
      </c>
      <c r="DB8" s="22"/>
      <c r="DC8" s="290">
        <f>IF(CW11&gt;CY9,CY9,CW11)</f>
        <v>0</v>
      </c>
      <c r="DD8" s="22">
        <f>DD7</f>
        <v>1</v>
      </c>
      <c r="DE8" s="293">
        <f>DC8/DD8</f>
        <v>0</v>
      </c>
      <c r="DF8" s="22"/>
      <c r="DG8" s="421">
        <f>MAX(DG6:DG7)</f>
        <v>0</v>
      </c>
      <c r="DY8" s="22"/>
      <c r="DZ8" s="22"/>
      <c r="EA8" s="22"/>
      <c r="EB8" s="22"/>
      <c r="EC8" s="22"/>
      <c r="ED8" s="22"/>
      <c r="EE8" s="22"/>
      <c r="EF8" s="53" t="s">
        <v>86</v>
      </c>
      <c r="EG8" s="54">
        <f>IF(EG3="PVC-40",5,0)</f>
        <v>0</v>
      </c>
      <c r="EH8" s="22"/>
      <c r="EJ8" s="30" t="s">
        <v>496</v>
      </c>
      <c r="EK8" s="27">
        <f>IF(EB84=2,0.31,0.4)</f>
        <v>0.4</v>
      </c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FM8" s="345"/>
      <c r="FN8" s="345"/>
      <c r="FR8" s="345"/>
      <c r="FZ8" s="22"/>
      <c r="GA8" s="22"/>
      <c r="GB8" s="22"/>
      <c r="GC8" s="22"/>
      <c r="GD8" s="22"/>
      <c r="GE8" s="22"/>
      <c r="GF8" s="22"/>
      <c r="GG8" s="53" t="s">
        <v>86</v>
      </c>
      <c r="GH8" s="54">
        <f>IF(GH3="PVC-40",5,0)</f>
        <v>0</v>
      </c>
      <c r="GI8" s="22"/>
      <c r="GK8" s="30" t="s">
        <v>496</v>
      </c>
      <c r="GL8" s="27">
        <f>IF(GC84=2,0.31,0.4)</f>
        <v>0.31</v>
      </c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</row>
    <row r="9" spans="1:207" ht="12" customHeight="1">
      <c r="A9" s="92"/>
      <c r="B9" s="99" t="s">
        <v>873</v>
      </c>
      <c r="C9" s="94"/>
      <c r="D9" s="101" t="str">
        <f>IF(CC10&gt;0,CD10," ")</f>
        <v xml:space="preserve"> </v>
      </c>
      <c r="E9" s="251"/>
      <c r="F9" s="95" t="str">
        <f>IF(CC10&gt;0,"&gt;"," ")</f>
        <v xml:space="preserve"> </v>
      </c>
      <c r="G9" s="95" t="str">
        <f>IF(CC10&gt;0,"&gt;"," ")</f>
        <v xml:space="preserve"> </v>
      </c>
      <c r="H9" s="121" t="s">
        <v>975</v>
      </c>
      <c r="I9" s="94"/>
      <c r="J9" s="109"/>
      <c r="K9" s="326" t="str">
        <f>IF(OR(D4=X12,D4=X13),"SECONDARY FEEDER FROM TRANSFORMER","FEEDER")</f>
        <v>FEEDER</v>
      </c>
      <c r="L9" s="94"/>
      <c r="M9" s="94"/>
      <c r="N9" s="97"/>
      <c r="O9" s="94"/>
      <c r="P9" s="96"/>
      <c r="Q9" s="98"/>
      <c r="BY9" s="130"/>
      <c r="BZ9" s="130"/>
      <c r="CA9" s="131">
        <v>3</v>
      </c>
      <c r="CB9" s="129">
        <f>IF(SUM(CB$7:CB8)=0,CC9,0)</f>
        <v>0</v>
      </c>
      <c r="CC9" s="132">
        <v>0</v>
      </c>
      <c r="CD9" s="133" t="s">
        <v>960</v>
      </c>
      <c r="CE9" s="133" t="s">
        <v>783</v>
      </c>
      <c r="CF9" s="127">
        <f>J7</f>
        <v>120</v>
      </c>
      <c r="CG9" s="133" t="str">
        <f>IF(H7&gt;H6,"ENTER LOW VOLTAGE",CONCATENATE(CE9,CF9))</f>
        <v>SOURCE VOTAGE IS 120</v>
      </c>
      <c r="CH9" s="132"/>
      <c r="CI9" s="132"/>
      <c r="CJ9" s="133" t="s">
        <v>572</v>
      </c>
      <c r="CK9" s="133"/>
      <c r="CL9" s="133"/>
      <c r="CM9" s="133" t="b">
        <f>IF(CJ13&lt;&gt;CJ14,TRUE,FALSE)</f>
        <v>0</v>
      </c>
      <c r="CN9" s="133"/>
      <c r="CO9" s="133"/>
      <c r="CP9" s="133"/>
      <c r="CQ9" s="1"/>
      <c r="CU9" s="499">
        <f>IF(D4&lt;&gt;X11,(CU8*H23/100)+CU8,CU8)</f>
        <v>0</v>
      </c>
      <c r="CV9" s="16">
        <f>IF(H10="FULL",0,IF(H8="3D",H20,0))</f>
        <v>0</v>
      </c>
      <c r="CW9" s="1">
        <f>H12</f>
        <v>0</v>
      </c>
      <c r="CX9" s="49" t="s">
        <v>27</v>
      </c>
      <c r="CY9" s="50">
        <f>IF(CY8&gt;1000,1200,IF(CY8&gt;800,1000,CY8))</f>
        <v>0</v>
      </c>
      <c r="CZ9" s="22"/>
      <c r="DA9" s="24" t="s">
        <v>841</v>
      </c>
      <c r="DB9" s="22"/>
      <c r="DC9" s="594">
        <f>ROUND((CX54*33.34/100),1)</f>
        <v>16.7</v>
      </c>
      <c r="DD9" s="22">
        <f>DD8</f>
        <v>1</v>
      </c>
      <c r="DE9" s="293">
        <f>DC9/DD9</f>
        <v>16.7</v>
      </c>
      <c r="DF9" s="22"/>
      <c r="DG9" s="1">
        <f>IF(D4&lt;&gt;X11,(DG8*J23/100)+DG8,DG8)</f>
        <v>0</v>
      </c>
      <c r="DW9" s="22"/>
      <c r="DY9" s="22"/>
      <c r="DZ9" s="22"/>
      <c r="EA9" s="22"/>
      <c r="EB9" s="22"/>
      <c r="EC9" s="22"/>
      <c r="ED9" s="22"/>
      <c r="EE9" s="22"/>
      <c r="EF9" s="53" t="s">
        <v>92</v>
      </c>
      <c r="EG9" s="54">
        <f>IF(EG3="RIGID/PVC",6,0)</f>
        <v>0</v>
      </c>
      <c r="EH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FL9" s="336" t="s">
        <v>580</v>
      </c>
      <c r="FM9" s="345"/>
      <c r="FN9" s="345"/>
      <c r="FZ9" s="22"/>
      <c r="GA9" s="22"/>
      <c r="GB9" s="22"/>
      <c r="GC9" s="22"/>
      <c r="GD9" s="22"/>
      <c r="GE9" s="22"/>
      <c r="GF9" s="22"/>
      <c r="GG9" s="53" t="s">
        <v>92</v>
      </c>
      <c r="GH9" s="54">
        <f>IF(GH3="RIGID/PVC",6,0)</f>
        <v>0</v>
      </c>
      <c r="GI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7" ht="12" customHeight="1">
      <c r="A10" s="92"/>
      <c r="B10" s="99"/>
      <c r="C10" s="94"/>
      <c r="D10" s="101"/>
      <c r="E10" s="251"/>
      <c r="F10" s="95"/>
      <c r="G10" s="95"/>
      <c r="H10" s="654"/>
      <c r="I10" s="94"/>
      <c r="J10" s="325"/>
      <c r="K10" s="94" t="str">
        <f>IF(H9&lt;&gt;"CONDUIT","NUMBER OF CABLES","NUMBER OF CONDUITS")</f>
        <v>NUMBER OF CABLES</v>
      </c>
      <c r="L10" s="94"/>
      <c r="M10" s="94"/>
      <c r="N10" s="97"/>
      <c r="O10" s="287">
        <f>IF(CF14&gt;0,"ERROR",IF(AND(H9&lt;&gt;"CONDUIT",'S-Sec Cable'!E18="ERROR"),"ERROR",DA54))</f>
        <v>1</v>
      </c>
      <c r="P10" s="96"/>
      <c r="Q10" s="98"/>
      <c r="BY10" s="130"/>
      <c r="BZ10" s="130"/>
      <c r="CA10" s="131">
        <v>4</v>
      </c>
      <c r="CB10" s="129">
        <f>IF(SUM(CB$7:CB9)=0,CC10,0)</f>
        <v>0</v>
      </c>
      <c r="CC10" s="357">
        <f>IF(CG$2&gt;0,0,IF(S4="NONE",0,IF(CF10=0,CG10,CF10)))</f>
        <v>0</v>
      </c>
      <c r="CD10" s="334" t="str">
        <f>IF(ISBLANK(H9)=TRUE,"SELECT FEEDER TYPE",IF(AND(H9="ROMEX",H8="3Y",CC30&lt;&gt;24),"CHECK ENTRY",IF(AND(H9="SER",H8="3Y",H14="CU",CC30&lt;&gt;24),"CHECK ENTRY",IF(S4&gt;0,"CHECK ENTRY","SELECT FEEDER TYPE"))))</f>
        <v>CHECK ENTRY</v>
      </c>
      <c r="CE10" s="133">
        <f>IF(S4="NONE",0,IF(AND(S4&gt;0,CC30&lt;&gt;24),43,0))</f>
        <v>0</v>
      </c>
      <c r="CF10" s="133">
        <f>IF(S4="NONE",0,IF(AND(H9="ROMEX",H8="3Y",CC30&lt;&gt;24),44,IF(ISBLANK(H9)=TRUE,4,IF(AND(H9="SER",H8="3Y",H15="CU",CC30&lt;&gt;24),44,0))))</f>
        <v>0</v>
      </c>
      <c r="CG10" s="133">
        <f>IF(AND(S5&gt;0,S4&lt;&gt;"NONE",CC30&lt;&gt;24),43,IF(H9="CONDUIT",0,IF(H9="SER",0,IF(H9="MC",0,IF(H9="ROMEX",0,4)))))</f>
        <v>0</v>
      </c>
      <c r="CH10" s="132"/>
      <c r="CI10" s="132"/>
      <c r="CJ10" s="133" t="s">
        <v>838</v>
      </c>
      <c r="CK10" s="133"/>
      <c r="CL10" s="133"/>
      <c r="CM10" s="133" t="b">
        <f>IF(CJ36=1,TRUE,IF(AND(CJ36="3Y",CJ7=CJ10),TRUE,FALSE))</f>
        <v>1</v>
      </c>
      <c r="CN10" s="133"/>
      <c r="CO10" s="133"/>
      <c r="CP10" s="133"/>
      <c r="CQ10" s="1"/>
      <c r="CV10" s="1">
        <f>MAX(CV8:CV9)</f>
        <v>0</v>
      </c>
      <c r="CW10" s="1">
        <f>MAX(CW8:CW9)</f>
        <v>0</v>
      </c>
      <c r="CX10" s="49" t="s">
        <v>29</v>
      </c>
      <c r="CY10" s="50" t="s">
        <v>28</v>
      </c>
      <c r="CZ10" s="22">
        <v>4</v>
      </c>
      <c r="DA10" s="194" t="s">
        <v>193</v>
      </c>
      <c r="DB10" s="22"/>
      <c r="DC10" s="290"/>
      <c r="DD10" s="22"/>
      <c r="DE10" s="293">
        <f>MAX(DE8:DE9)</f>
        <v>16.7</v>
      </c>
      <c r="DF10" s="22"/>
      <c r="DV10" s="58" t="s">
        <v>30</v>
      </c>
      <c r="DW10" s="58" t="s">
        <v>31</v>
      </c>
      <c r="DY10" s="22"/>
      <c r="DZ10" s="22"/>
      <c r="EA10" s="22"/>
      <c r="EB10" s="22"/>
      <c r="EC10" s="22"/>
      <c r="ED10" s="22"/>
      <c r="EE10" s="22"/>
      <c r="EF10" s="53" t="s">
        <v>95</v>
      </c>
      <c r="EG10" s="54">
        <f>IF(EG3="FLEX",7,0)</f>
        <v>0</v>
      </c>
      <c r="EH10" s="22"/>
      <c r="EJ10" s="59" t="s">
        <v>30</v>
      </c>
      <c r="EK10" s="60">
        <f>EK8</f>
        <v>0.4</v>
      </c>
      <c r="EL10" s="58" t="s">
        <v>32</v>
      </c>
      <c r="EM10" s="58" t="str">
        <f t="shared" ref="EM10:EM22" si="0">IF($EK$6=1,EQ11,IF($EK$6=2,ER11,IF($EK$6=3,ES11,IF($EK$6=4,ET11,IF($EK$6=5,EU11,IF($EK$6=6,EV11,IF($EK$6=7,EW11,IF($EK$6=8,EX11))))))))</f>
        <v>EMT</v>
      </c>
      <c r="EN10" s="58" t="s">
        <v>32</v>
      </c>
      <c r="EO10" s="22"/>
      <c r="EP10" s="58"/>
      <c r="EQ10" s="58">
        <v>1</v>
      </c>
      <c r="ER10" s="58">
        <v>2</v>
      </c>
      <c r="ES10" s="58">
        <v>3</v>
      </c>
      <c r="ET10" s="58">
        <v>4</v>
      </c>
      <c r="EU10" s="58">
        <v>5</v>
      </c>
      <c r="EV10" s="58">
        <v>6</v>
      </c>
      <c r="EW10" s="58">
        <v>7</v>
      </c>
      <c r="EX10" s="58">
        <v>8</v>
      </c>
      <c r="FL10" s="347" t="s">
        <v>149</v>
      </c>
      <c r="FM10" s="348">
        <f>FM7</f>
        <v>0</v>
      </c>
      <c r="FN10" s="349">
        <f>IF(D4="TRANSFORMER (1-PHASE)",VLOOKUP(FM7,FH47:FJ56,3),IF(D4="TRANSFORMER (3-PHASE)",VLOOKUP(FM7,FL47:FN56,3),0))</f>
        <v>0</v>
      </c>
      <c r="FZ10" s="22"/>
      <c r="GA10" s="22"/>
      <c r="GB10" s="22"/>
      <c r="GC10" s="22"/>
      <c r="GD10" s="22"/>
      <c r="GE10" s="22"/>
      <c r="GF10" s="22"/>
      <c r="GG10" s="53" t="s">
        <v>95</v>
      </c>
      <c r="GH10" s="54">
        <f>IF(GH3="FLEX",7,0)</f>
        <v>0</v>
      </c>
      <c r="GI10" s="22"/>
      <c r="GK10" s="59" t="s">
        <v>30</v>
      </c>
      <c r="GL10" s="60">
        <f>GL8</f>
        <v>0.31</v>
      </c>
      <c r="GM10" s="58" t="s">
        <v>32</v>
      </c>
      <c r="GN10" s="58" t="str">
        <f t="shared" ref="GN10:GN19" si="1">IF($EK$6=1,GR11,IF($EK$6=2,GS11,IF($EK$6=3,GT11,IF($EK$6=4,GU11,IF($EK$6=5,GV11,IF($EK$6=6,GW11,IF($EK$6=7,GX11,IF($EK$6=8,GY11))))))))</f>
        <v>EMT</v>
      </c>
      <c r="GO10" s="58" t="s">
        <v>32</v>
      </c>
      <c r="GP10" s="22"/>
      <c r="GQ10" s="58"/>
      <c r="GR10" s="58">
        <v>1</v>
      </c>
      <c r="GS10" s="58">
        <v>2</v>
      </c>
      <c r="GT10" s="58">
        <v>3</v>
      </c>
      <c r="GU10" s="58">
        <v>4</v>
      </c>
      <c r="GV10" s="58">
        <v>5</v>
      </c>
      <c r="GW10" s="58">
        <v>6</v>
      </c>
      <c r="GX10" s="58">
        <v>7</v>
      </c>
      <c r="GY10" s="58">
        <v>8</v>
      </c>
    </row>
    <row r="11" spans="1:207" ht="12" customHeight="1">
      <c r="A11" s="92"/>
      <c r="B11" s="104"/>
      <c r="C11" s="94"/>
      <c r="D11" s="101"/>
      <c r="E11" s="251"/>
      <c r="F11" s="95"/>
      <c r="G11" s="95"/>
      <c r="H11" s="653"/>
      <c r="I11" s="94"/>
      <c r="J11" s="623"/>
      <c r="K11" s="94" t="str">
        <f>IF(H9&lt;&gt;"CONDUIT","FEEDER CABLE","FEEDER CONDUIT")</f>
        <v>FEEDER CABLE</v>
      </c>
      <c r="L11" s="94"/>
      <c r="M11" s="94"/>
      <c r="N11" s="97"/>
      <c r="O11" s="285" t="str">
        <f>IF(CF14&gt;0,"ERROR",IF(H9&lt;&gt;"CONDUIT",'S-Sec Cable'!E18,CV33))</f>
        <v xml:space="preserve"> SER CABLE</v>
      </c>
      <c r="P11" s="96"/>
      <c r="Q11" s="98"/>
      <c r="X11" s="133" t="str">
        <f>IF(ISBLANK(Input!D3)=TRUE,"NO NAME",Input!D3)</f>
        <v>CP1</v>
      </c>
      <c r="BY11" s="130"/>
      <c r="BZ11" s="130"/>
      <c r="CA11" s="131">
        <v>5</v>
      </c>
      <c r="CB11" s="129">
        <f>IF(SUM(CB$7:CB10)=0,CC11,0)</f>
        <v>0</v>
      </c>
      <c r="CC11" s="132">
        <v>0</v>
      </c>
      <c r="CD11" s="133" t="str">
        <f>IF(AND(H11="FULL",Input!H10="AUTO"),"SOURCE PANEL IS AUTO",IF(AND(D4=X11,H11&lt;&gt;"NONE",Input!H10="NONE"),"SOURCE HAS NO NEUTRAL",IF(AND(H11="NONE",'S-Calcs'!X24&gt;0),"NEUTRAL LOAD PRESENT","ENTER NEUTRAL SIZE")))</f>
        <v>ENTER NEUTRAL SIZE</v>
      </c>
      <c r="CE11" s="133" t="s">
        <v>12</v>
      </c>
      <c r="CF11" s="133"/>
      <c r="CG11" s="133">
        <f>IF(S4="NONE",0,IF(AND(H9="ROMEX",H8="3Y",CC30&lt;&gt;24),44,IF(ISBLANK(H9)=TRUE,4,IF(AND(H9="SER",H8="3Y",H15="CU",CC30&lt;&gt;24),44,IF(H9="CONDUIT",0,IF(H9="SER",0,IF(H9="MC",0,IF(H9="ROMEX",0,4))))))))</f>
        <v>0</v>
      </c>
      <c r="CH11" s="132"/>
      <c r="CI11" s="132"/>
      <c r="CJ11" s="133"/>
      <c r="CK11" s="133"/>
      <c r="CL11" s="133"/>
      <c r="CM11" s="133" t="b">
        <f>IF(CM9=FALSE,FALSE,IF(CM10=FALSE,FALSE,TRUE))</f>
        <v>0</v>
      </c>
      <c r="CN11" s="133"/>
      <c r="CO11" s="133"/>
      <c r="CP11" s="133"/>
      <c r="CQ11" s="1"/>
      <c r="CT11" s="1" t="s">
        <v>482</v>
      </c>
      <c r="CU11" s="16">
        <f>SUM('S-Calcs'!F5:L5)</f>
        <v>0</v>
      </c>
      <c r="CW11" s="1">
        <f>IF(D4&lt;&gt;X11,(CW10*H23/100)+CW10,CW10)</f>
        <v>0</v>
      </c>
      <c r="CX11" s="61" t="s">
        <v>33</v>
      </c>
      <c r="CY11" s="52" t="str">
        <f>IF(CY10="NONE","N",IF(H8="3Y",CU14,"N"))</f>
        <v>N</v>
      </c>
      <c r="CZ11" s="22">
        <f>IF(CY11="Y",1,IF(CY11="N",0,"ERR"))</f>
        <v>0</v>
      </c>
      <c r="DA11" s="22"/>
      <c r="DB11" s="22"/>
      <c r="DC11" s="22"/>
      <c r="DD11" s="22"/>
      <c r="DE11" s="22"/>
      <c r="DF11" s="22"/>
      <c r="DV11" s="62" t="s">
        <v>34</v>
      </c>
      <c r="DW11" s="62" t="s">
        <v>35</v>
      </c>
      <c r="DY11" s="22"/>
      <c r="DZ11" s="22"/>
      <c r="EA11" s="22"/>
      <c r="EB11" s="22"/>
      <c r="EC11" s="22"/>
      <c r="ED11" s="22"/>
      <c r="EE11" s="22"/>
      <c r="EF11" s="53" t="s">
        <v>100</v>
      </c>
      <c r="EG11" s="54">
        <f>IF(EG3="LT-FLEX",8,0)</f>
        <v>0</v>
      </c>
      <c r="EH11" s="22"/>
      <c r="EJ11" s="59" t="s">
        <v>36</v>
      </c>
      <c r="EK11" s="62" t="s">
        <v>37</v>
      </c>
      <c r="EL11" s="62" t="s">
        <v>38</v>
      </c>
      <c r="EM11" s="62" t="str">
        <f t="shared" si="0"/>
        <v>AREA</v>
      </c>
      <c r="EN11" s="62" t="s">
        <v>38</v>
      </c>
      <c r="EO11" s="22"/>
      <c r="EP11" s="62" t="s">
        <v>38</v>
      </c>
      <c r="EQ11" s="62" t="s">
        <v>39</v>
      </c>
      <c r="ER11" s="62" t="s">
        <v>40</v>
      </c>
      <c r="ES11" s="62" t="s">
        <v>41</v>
      </c>
      <c r="ET11" s="62" t="s">
        <v>42</v>
      </c>
      <c r="EU11" s="62" t="s">
        <v>43</v>
      </c>
      <c r="EV11" s="62" t="s">
        <v>44</v>
      </c>
      <c r="EW11" s="62" t="s">
        <v>45</v>
      </c>
      <c r="EX11" s="62" t="s">
        <v>46</v>
      </c>
      <c r="FL11" s="334" t="s">
        <v>587</v>
      </c>
      <c r="FZ11" s="22"/>
      <c r="GA11" s="22"/>
      <c r="GB11" s="22"/>
      <c r="GC11" s="22"/>
      <c r="GD11" s="22"/>
      <c r="GE11" s="22"/>
      <c r="GF11" s="22"/>
      <c r="GG11" s="53" t="s">
        <v>100</v>
      </c>
      <c r="GH11" s="54">
        <f>IF(GH3="LT-FLEX",8,0)</f>
        <v>0</v>
      </c>
      <c r="GI11" s="22"/>
      <c r="GK11" s="59" t="s">
        <v>36</v>
      </c>
      <c r="GL11" s="62" t="s">
        <v>37</v>
      </c>
      <c r="GM11" s="62" t="s">
        <v>38</v>
      </c>
      <c r="GN11" s="62" t="str">
        <f t="shared" si="1"/>
        <v>AREA</v>
      </c>
      <c r="GO11" s="62" t="s">
        <v>38</v>
      </c>
      <c r="GP11" s="22"/>
      <c r="GQ11" s="62" t="s">
        <v>38</v>
      </c>
      <c r="GR11" s="62" t="s">
        <v>39</v>
      </c>
      <c r="GS11" s="62" t="s">
        <v>40</v>
      </c>
      <c r="GT11" s="62" t="s">
        <v>41</v>
      </c>
      <c r="GU11" s="62" t="s">
        <v>42</v>
      </c>
      <c r="GV11" s="62" t="s">
        <v>43</v>
      </c>
      <c r="GW11" s="62" t="s">
        <v>44</v>
      </c>
      <c r="GX11" s="62" t="s">
        <v>45</v>
      </c>
      <c r="GY11" s="62" t="s">
        <v>46</v>
      </c>
    </row>
    <row r="12" spans="1:207" ht="12" customHeight="1">
      <c r="A12" s="92"/>
      <c r="B12" s="99"/>
      <c r="C12" s="94"/>
      <c r="D12" s="101"/>
      <c r="E12" s="251"/>
      <c r="F12" s="95"/>
      <c r="G12" s="95"/>
      <c r="H12" s="653"/>
      <c r="I12" s="94"/>
      <c r="J12" s="327"/>
      <c r="K12" s="94" t="s">
        <v>501</v>
      </c>
      <c r="L12" s="94"/>
      <c r="M12" s="94"/>
      <c r="N12" s="97"/>
      <c r="O12" s="103" t="str">
        <f>IF(CF14&gt;0,"ERROR",IF(H9&lt;&gt;"CONDUIT",'S-Sec Cable'!J18,CY54))</f>
        <v>#6</v>
      </c>
      <c r="P12" s="96"/>
      <c r="Q12" s="98"/>
      <c r="X12" s="133" t="s">
        <v>572</v>
      </c>
      <c r="BY12" s="130"/>
      <c r="BZ12" s="130"/>
      <c r="CA12" s="131">
        <v>6</v>
      </c>
      <c r="CB12" s="129">
        <f>IF(SUM(CB$7:CB11)=0,CC12,0)</f>
        <v>0</v>
      </c>
      <c r="CC12" s="132">
        <f>IF(S4="NONE",0,IF(H11&lt;&gt;"AUTO",0,IF(ISBLANK(H12)=TRUE,6,IF(ISTEXT(H12)=TRUE,6,IF(H12&lt;0,6,IF(H12&gt;400,6,0))))))</f>
        <v>0</v>
      </c>
      <c r="CD12" s="133" t="s">
        <v>534</v>
      </c>
      <c r="CE12" s="133" t="s">
        <v>12</v>
      </c>
      <c r="CF12" s="134" t="s">
        <v>25</v>
      </c>
      <c r="CG12" s="133"/>
      <c r="CH12" s="132"/>
      <c r="CI12" s="132"/>
      <c r="CJ12" s="133"/>
      <c r="CK12" s="133"/>
      <c r="CL12" s="133"/>
      <c r="CM12" s="133"/>
      <c r="CN12" s="133"/>
      <c r="CO12" s="133"/>
      <c r="CP12" s="133"/>
      <c r="CQ12" s="1"/>
      <c r="CT12" s="1" t="s">
        <v>483</v>
      </c>
      <c r="CU12" s="1">
        <f>ROUND(CU11/2,0)</f>
        <v>0</v>
      </c>
      <c r="CX12" s="29" t="s">
        <v>47</v>
      </c>
      <c r="CY12" s="27"/>
      <c r="CZ12" s="22">
        <f>CZ10+CZ11</f>
        <v>4</v>
      </c>
      <c r="DA12" s="22"/>
      <c r="DB12" s="22"/>
      <c r="DC12" s="22"/>
      <c r="DD12" s="22"/>
      <c r="DE12" s="22"/>
      <c r="DF12" s="22"/>
      <c r="DV12" s="62" t="s">
        <v>48</v>
      </c>
      <c r="DW12" s="62" t="s">
        <v>49</v>
      </c>
      <c r="DY12" s="22"/>
      <c r="DZ12" s="22"/>
      <c r="EA12" s="22"/>
      <c r="EB12" s="22"/>
      <c r="EC12" s="22"/>
      <c r="ED12" s="22"/>
      <c r="EE12" s="22"/>
      <c r="EF12" s="189" t="s">
        <v>149</v>
      </c>
      <c r="EG12" s="190">
        <f>MAX(EG4:EG11)</f>
        <v>3</v>
      </c>
      <c r="EH12" s="22"/>
      <c r="EJ12" s="59"/>
      <c r="EK12" s="62"/>
      <c r="EL12" s="62"/>
      <c r="EM12" s="62" t="str">
        <f t="shared" si="0"/>
        <v>SQ IN</v>
      </c>
      <c r="EN12" s="62"/>
      <c r="EO12" s="22"/>
      <c r="EP12" s="62"/>
      <c r="EQ12" s="62" t="s">
        <v>50</v>
      </c>
      <c r="ER12" s="62" t="s">
        <v>50</v>
      </c>
      <c r="ES12" s="62" t="s">
        <v>50</v>
      </c>
      <c r="ET12" s="62" t="s">
        <v>50</v>
      </c>
      <c r="EU12" s="62" t="s">
        <v>50</v>
      </c>
      <c r="EV12" s="62" t="s">
        <v>50</v>
      </c>
      <c r="EW12" s="62" t="s">
        <v>50</v>
      </c>
      <c r="EX12" s="62" t="s">
        <v>50</v>
      </c>
      <c r="FZ12" s="22"/>
      <c r="GA12" s="22"/>
      <c r="GB12" s="22"/>
      <c r="GC12" s="22"/>
      <c r="GD12" s="22"/>
      <c r="GE12" s="22"/>
      <c r="GF12" s="22"/>
      <c r="GG12" s="189" t="s">
        <v>149</v>
      </c>
      <c r="GH12" s="190">
        <f>MAX(GH4:GH11)</f>
        <v>0</v>
      </c>
      <c r="GI12" s="22"/>
      <c r="GK12" s="59"/>
      <c r="GL12" s="62"/>
      <c r="GM12" s="62"/>
      <c r="GN12" s="62" t="str">
        <f t="shared" si="1"/>
        <v>SQ IN</v>
      </c>
      <c r="GO12" s="62"/>
      <c r="GP12" s="22"/>
      <c r="GQ12" s="62"/>
      <c r="GR12" s="62" t="s">
        <v>50</v>
      </c>
      <c r="GS12" s="62" t="s">
        <v>50</v>
      </c>
      <c r="GT12" s="62" t="s">
        <v>50</v>
      </c>
      <c r="GU12" s="62" t="s">
        <v>50</v>
      </c>
      <c r="GV12" s="62" t="s">
        <v>50</v>
      </c>
      <c r="GW12" s="62" t="s">
        <v>50</v>
      </c>
      <c r="GX12" s="62" t="s">
        <v>50</v>
      </c>
      <c r="GY12" s="62" t="s">
        <v>50</v>
      </c>
    </row>
    <row r="13" spans="1:207" ht="12" customHeight="1">
      <c r="A13" s="92"/>
      <c r="B13" s="99" t="str">
        <f>IF(H9&lt;&gt;"CONDUIT"," ","GND WIRE Y/N")</f>
        <v xml:space="preserve"> </v>
      </c>
      <c r="C13" s="94"/>
      <c r="D13" s="101" t="str">
        <f>IF(CC13&gt;0,CD13,IF(CC35&gt;0,CD35," "))</f>
        <v xml:space="preserve"> </v>
      </c>
      <c r="E13" s="251"/>
      <c r="F13" s="95" t="str">
        <f>IF(CC13&gt;0,"&gt;",IF(CC35&gt;0,"&gt;"," "))</f>
        <v xml:space="preserve"> </v>
      </c>
      <c r="G13" s="95" t="str">
        <f>IF(CC13&gt;0,"&gt;",IF(CC35&gt;0,"&gt;"," "))</f>
        <v xml:space="preserve"> </v>
      </c>
      <c r="H13" s="121" t="s">
        <v>28</v>
      </c>
      <c r="I13" s="94"/>
      <c r="J13" s="624"/>
      <c r="K13" s="94" t="s">
        <v>502</v>
      </c>
      <c r="L13" s="94"/>
      <c r="M13" s="94"/>
      <c r="N13" s="97"/>
      <c r="O13" s="103" t="str">
        <f>IF(CF14&gt;0,"ERROR",IF(H9&lt;&gt;"CONDUIT",'S-Sec Cable'!J18,CY55))</f>
        <v>#6</v>
      </c>
      <c r="P13" s="96"/>
      <c r="Q13" s="98"/>
      <c r="T13" s="126" t="s">
        <v>479</v>
      </c>
      <c r="X13" s="133" t="str">
        <f>IF(Input!H8&lt;&gt;1,"TRANSFORMER (3-PHASE)","TRANSFORMER (1-PHASE)")</f>
        <v>TRANSFORMER (3-PHASE)</v>
      </c>
      <c r="BY13" s="130"/>
      <c r="BZ13" s="130"/>
      <c r="CA13" s="131">
        <v>7</v>
      </c>
      <c r="CB13" s="129">
        <f>IF(SUM(CB$7:CB12)=0,CC13,0)</f>
        <v>0</v>
      </c>
      <c r="CC13" s="132">
        <f>IF(S4="NONE",0,IF(H9&lt;&gt;"CONDUIT",0,IF(ISBLANK(H13)=TRUE,7,IF(H13="Y",0,IF(H13="N",0,7)))))</f>
        <v>0</v>
      </c>
      <c r="CD13" s="133" t="s">
        <v>206</v>
      </c>
      <c r="CE13" s="133" t="s">
        <v>12</v>
      </c>
      <c r="CF13" s="135" t="s">
        <v>3</v>
      </c>
      <c r="CG13" s="133"/>
      <c r="CH13" s="132"/>
      <c r="CI13" s="132"/>
      <c r="CJ13" s="148" t="str">
        <f>Input!D3</f>
        <v>CP1</v>
      </c>
      <c r="CK13" s="133"/>
      <c r="CL13" s="133"/>
      <c r="CM13" s="133"/>
      <c r="CN13" s="133"/>
      <c r="CO13" s="133"/>
      <c r="CP13" s="133"/>
      <c r="CQ13" s="1"/>
      <c r="CT13" s="1" t="s">
        <v>481</v>
      </c>
      <c r="CU13" s="23">
        <f>AS76</f>
        <v>0</v>
      </c>
      <c r="CX13" s="29"/>
      <c r="CY13" s="27"/>
      <c r="CZ13" s="22"/>
      <c r="DA13" s="22"/>
      <c r="DB13" s="22"/>
      <c r="DC13" s="22"/>
      <c r="DV13" s="62">
        <v>0</v>
      </c>
      <c r="DW13" s="62">
        <v>60</v>
      </c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J13" s="59">
        <v>0</v>
      </c>
      <c r="EK13" s="63">
        <f>EM13*EK$10</f>
        <v>0.1216</v>
      </c>
      <c r="EL13" s="62">
        <v>0.5</v>
      </c>
      <c r="EM13" s="64">
        <f t="shared" si="0"/>
        <v>0.30399999999999999</v>
      </c>
      <c r="EN13" s="62">
        <v>0.5</v>
      </c>
      <c r="EO13" s="22"/>
      <c r="EP13" s="57"/>
      <c r="EQ13" s="57" t="s">
        <v>59</v>
      </c>
      <c r="ER13" s="57" t="s">
        <v>59</v>
      </c>
      <c r="ES13" s="57" t="s">
        <v>59</v>
      </c>
      <c r="ET13" s="57" t="s">
        <v>59</v>
      </c>
      <c r="EU13" s="57" t="s">
        <v>59</v>
      </c>
      <c r="EV13" s="57" t="s">
        <v>59</v>
      </c>
      <c r="EW13" s="57" t="s">
        <v>59</v>
      </c>
      <c r="EX13" s="57" t="s">
        <v>59</v>
      </c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K13" s="59">
        <v>0</v>
      </c>
      <c r="GL13" s="63">
        <f>GN13*GL$10</f>
        <v>9.423999999999999E-2</v>
      </c>
      <c r="GM13" s="62">
        <v>0.5</v>
      </c>
      <c r="GN13" s="64">
        <f t="shared" si="1"/>
        <v>0.30399999999999999</v>
      </c>
      <c r="GO13" s="62">
        <v>0.5</v>
      </c>
      <c r="GP13" s="22"/>
      <c r="GQ13" s="57"/>
      <c r="GR13" s="57" t="s">
        <v>59</v>
      </c>
      <c r="GS13" s="57" t="s">
        <v>59</v>
      </c>
      <c r="GT13" s="57" t="s">
        <v>59</v>
      </c>
      <c r="GU13" s="57" t="s">
        <v>59</v>
      </c>
      <c r="GV13" s="57" t="s">
        <v>59</v>
      </c>
      <c r="GW13" s="57" t="s">
        <v>59</v>
      </c>
      <c r="GX13" s="57" t="s">
        <v>59</v>
      </c>
      <c r="GY13" s="57" t="s">
        <v>59</v>
      </c>
    </row>
    <row r="14" spans="1:207" ht="12" customHeight="1">
      <c r="A14" s="92"/>
      <c r="B14" s="99" t="str">
        <f>IF(H9&lt;&gt;"CONDUIT"," ","WIRE TYPE")</f>
        <v xml:space="preserve"> </v>
      </c>
      <c r="C14" s="95"/>
      <c r="D14" s="101" t="str">
        <f>IF(OR(CC14&gt;0,CC36&gt;0),CD14," ")</f>
        <v xml:space="preserve"> </v>
      </c>
      <c r="E14" s="251"/>
      <c r="F14" s="95" t="str">
        <f>IF(OR(CC14&gt;0,CC36&gt;0),"&gt;"," ")</f>
        <v xml:space="preserve"> </v>
      </c>
      <c r="G14" s="95" t="str">
        <f>IF(OR(CC14&gt;0,CC36&gt;0),"&gt;"," ")</f>
        <v xml:space="preserve"> </v>
      </c>
      <c r="H14" s="120" t="s">
        <v>161</v>
      </c>
      <c r="I14" s="94"/>
      <c r="J14" s="624"/>
      <c r="K14" s="94" t="str">
        <f>IF(H8=1," ","WIRE SIZE  L3")</f>
        <v xml:space="preserve"> </v>
      </c>
      <c r="L14" s="94"/>
      <c r="M14" s="94"/>
      <c r="N14" s="97"/>
      <c r="O14" s="286" t="str">
        <f>IF(CF14&gt;0,"ERROR",IF(H8=1," ",IF(H9&lt;&gt;"CONDUIT",'S-Sec Cable'!J18,CY54)))</f>
        <v xml:space="preserve"> </v>
      </c>
      <c r="P14" s="96"/>
      <c r="Q14" s="98"/>
      <c r="T14" s="131" t="str">
        <f>CONCATENATE(T11,T12,T13)</f>
        <v>KKK</v>
      </c>
      <c r="BY14" s="136">
        <f>H5</f>
        <v>84</v>
      </c>
      <c r="BZ14" s="130"/>
      <c r="CA14" s="131">
        <v>8</v>
      </c>
      <c r="CB14" s="129">
        <f>IF(SUM(CB$7:CB13)=0,CC14,0)</f>
        <v>0</v>
      </c>
      <c r="CC14" s="132">
        <f>IF(OR(H9&lt;&gt;"CONDUIT",S4="NONE"),0,IF(H14="THW",0,IF(H14="RHW",0,IF(H14="THHN",0,IF(H14="XHHW",0,IF(H14="THW-CA",0,IF(H14="THHN-CA",0,IF(H14="XHHW-CA",0,8))))))))</f>
        <v>0</v>
      </c>
      <c r="CD14" s="133" t="s">
        <v>207</v>
      </c>
      <c r="CE14" s="133" t="s">
        <v>12</v>
      </c>
      <c r="CF14" s="279">
        <f>IF(S4="NONE",0,IF(SUM(CC8:CC9)&gt;0,1,CB44+CB89+CE89+CB133+CE133+CH89+CH133))</f>
        <v>0</v>
      </c>
      <c r="CG14" s="133"/>
      <c r="CH14" s="132"/>
      <c r="CI14" s="132"/>
      <c r="CJ14" s="148" t="str">
        <f>D4</f>
        <v>CP1</v>
      </c>
      <c r="CK14" s="133"/>
      <c r="CL14" s="133"/>
      <c r="CM14" s="133"/>
      <c r="CN14" s="133"/>
      <c r="CO14" s="133"/>
      <c r="CP14" s="133"/>
      <c r="CQ14" s="1"/>
      <c r="CU14" s="22" t="str">
        <f>IF(CU11=0,"N",IF(CU13&lt;CU12,"N","Y"))</f>
        <v>N</v>
      </c>
      <c r="CX14" s="24"/>
      <c r="CY14" s="131" t="s">
        <v>580</v>
      </c>
      <c r="CZ14" s="22"/>
      <c r="DA14" s="22"/>
      <c r="DB14" s="22"/>
      <c r="DC14" s="22"/>
      <c r="DJ14" s="1" t="s">
        <v>580</v>
      </c>
      <c r="DV14" s="62">
        <f t="shared" ref="DV14:DV34" si="2">DW13+0.00001</f>
        <v>60.000010000000003</v>
      </c>
      <c r="DW14" s="62">
        <v>70</v>
      </c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J14" s="59">
        <f t="shared" ref="EJ14:EJ22" si="3">EK13+0.0000000001</f>
        <v>0.12160000009999999</v>
      </c>
      <c r="EK14" s="63">
        <f t="shared" ref="EK14:EK22" si="4">EM14*EK$10</f>
        <v>0.21320000000000003</v>
      </c>
      <c r="EL14" s="62">
        <v>0.75</v>
      </c>
      <c r="EM14" s="64">
        <f t="shared" si="0"/>
        <v>0.53300000000000003</v>
      </c>
      <c r="EN14" s="62">
        <v>0.75</v>
      </c>
      <c r="EO14" s="22"/>
      <c r="EP14" s="62">
        <v>0.5</v>
      </c>
      <c r="EQ14" s="64">
        <v>0.28499999999999998</v>
      </c>
      <c r="ER14" s="64">
        <v>0.314</v>
      </c>
      <c r="ES14" s="64">
        <v>0.30399999999999999</v>
      </c>
      <c r="ET14" s="64">
        <v>0.34200000000000003</v>
      </c>
      <c r="EU14" s="64">
        <v>0.28499999999999998</v>
      </c>
      <c r="EV14" s="64">
        <v>0.30399999999999999</v>
      </c>
      <c r="EW14" s="64">
        <v>0.317</v>
      </c>
      <c r="EX14" s="64">
        <v>0.314</v>
      </c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K14" s="59">
        <f t="shared" ref="GK14:GK20" si="5">GL13+0.0000000001</f>
        <v>9.4240000099999985E-2</v>
      </c>
      <c r="GL14" s="63">
        <f t="shared" ref="GL14:GL22" si="6">GN14*GL$10</f>
        <v>0.16523000000000002</v>
      </c>
      <c r="GM14" s="62">
        <v>0.75</v>
      </c>
      <c r="GN14" s="64">
        <f t="shared" si="1"/>
        <v>0.53300000000000003</v>
      </c>
      <c r="GO14" s="62">
        <v>0.75</v>
      </c>
      <c r="GP14" s="22"/>
      <c r="GQ14" s="62">
        <v>0.5</v>
      </c>
      <c r="GR14" s="64">
        <v>0.28499999999999998</v>
      </c>
      <c r="GS14" s="64">
        <v>0.314</v>
      </c>
      <c r="GT14" s="64">
        <v>0.30399999999999999</v>
      </c>
      <c r="GU14" s="64">
        <v>0.34200000000000003</v>
      </c>
      <c r="GV14" s="64">
        <v>0.28499999999999998</v>
      </c>
      <c r="GW14" s="64">
        <v>0.30399999999999999</v>
      </c>
      <c r="GX14" s="64">
        <v>0.317</v>
      </c>
      <c r="GY14" s="64">
        <v>0.314</v>
      </c>
    </row>
    <row r="15" spans="1:207" ht="12" customHeight="1">
      <c r="A15" s="92"/>
      <c r="B15" s="99" t="s">
        <v>2</v>
      </c>
      <c r="C15" s="95"/>
      <c r="D15" s="101" t="str">
        <f>IF(CC25&gt;0,CD25,IF(CC38&gt;0,CD38,IF(CC37&gt;0,CD37,IF(CC15&gt;0,CD15," "))))</f>
        <v xml:space="preserve"> </v>
      </c>
      <c r="E15" s="251"/>
      <c r="F15" s="95" t="str">
        <f>IF(OR(CC25&gt;0,CC37&gt;0,CC38&gt;0),"&gt;",IF(CC15&gt;0,"&gt;"," "))</f>
        <v xml:space="preserve"> </v>
      </c>
      <c r="G15" s="95" t="str">
        <f>IF(OR(CC25&gt;0,CC37&gt;0,CC38&gt;0),"&gt;",IF(CC15&gt;0,"&gt;"," "))</f>
        <v xml:space="preserve"> </v>
      </c>
      <c r="H15" s="120" t="s">
        <v>77</v>
      </c>
      <c r="I15" s="94"/>
      <c r="J15" s="624"/>
      <c r="K15" s="94" t="s">
        <v>526</v>
      </c>
      <c r="L15" s="94"/>
      <c r="M15" s="94"/>
      <c r="N15" s="94"/>
      <c r="O15" s="287" t="str">
        <f>IF(CF14&gt;0,"ERROR",IF(H9&lt;&gt;"CONDUIT",'S-Sec Cable'!J18,CY56))</f>
        <v>#6</v>
      </c>
      <c r="P15" s="96"/>
      <c r="Q15" s="98"/>
      <c r="X15" s="133">
        <f>IF(D4=X11,0,IF(D4=X12,1,IF(D4=X13,1,0)))</f>
        <v>0</v>
      </c>
      <c r="Y15" s="133">
        <f>IF(AND(O3&lt;&gt;"NONE",X15=0),4,IF(AND(O3&lt;&gt;"NONE",X15=1),6,2))</f>
        <v>4</v>
      </c>
      <c r="BY15" s="130"/>
      <c r="BZ15" s="130"/>
      <c r="CA15" s="131">
        <v>9</v>
      </c>
      <c r="CB15" s="129">
        <f>IF(SUM(CB$7:CB14)=0,CC15,0)</f>
        <v>0</v>
      </c>
      <c r="CC15" s="132">
        <f>IF(CG2&gt;0,0,IF(S4="NONE",0,IF(AND(H9="ROMEX",H15="AL"),9,IF(ISBLANK(H15)=TRUE,9,IF(AND(H9="SER",H8="3Y",H15="CU",CC30&lt;&gt;24),44,IF(H15="CU",0,IF(H15="AL",0,9)))))))</f>
        <v>0</v>
      </c>
      <c r="CD15" s="133" t="str">
        <f>IF(AND(H9="ROMEX",H15="AL"),"USE CU ON ROMEX",IF(AND(H9="SER",H8="3Y",H15="CU",CC30&lt;&gt;24),"CHECK ENTRY","ENTER WIRE CU/AL"))</f>
        <v>ENTER WIRE CU/AL</v>
      </c>
      <c r="CE15" s="133" t="s">
        <v>12</v>
      </c>
      <c r="CF15" s="133"/>
      <c r="CG15" s="133"/>
      <c r="CH15" s="132"/>
      <c r="CI15" s="132"/>
      <c r="CJ15" s="133"/>
      <c r="CK15" s="133"/>
      <c r="CL15" s="133"/>
      <c r="CM15" s="133"/>
      <c r="CN15" s="133"/>
      <c r="CO15" s="133"/>
      <c r="CP15" s="133"/>
      <c r="CQ15" s="1"/>
      <c r="CX15" s="65" t="s">
        <v>30</v>
      </c>
      <c r="CY15" s="331" t="s">
        <v>30</v>
      </c>
      <c r="CZ15" s="331" t="s">
        <v>67</v>
      </c>
      <c r="DA15" s="65" t="s">
        <v>66</v>
      </c>
      <c r="DB15" s="65" t="s">
        <v>67</v>
      </c>
      <c r="DC15" s="58" t="s">
        <v>68</v>
      </c>
      <c r="DD15" s="58" t="s">
        <v>68</v>
      </c>
      <c r="DE15" s="58" t="s">
        <v>68</v>
      </c>
      <c r="DF15" s="58" t="s">
        <v>69</v>
      </c>
      <c r="DG15" s="58" t="s">
        <v>70</v>
      </c>
      <c r="DH15" s="58" t="s">
        <v>71</v>
      </c>
      <c r="DI15" s="27"/>
      <c r="DJ15" s="134" t="s">
        <v>69</v>
      </c>
      <c r="DK15" s="134" t="s">
        <v>70</v>
      </c>
      <c r="DL15" s="134" t="s">
        <v>71</v>
      </c>
      <c r="DN15" s="24" t="s">
        <v>72</v>
      </c>
      <c r="DV15" s="62">
        <f t="shared" si="2"/>
        <v>70.000010000000003</v>
      </c>
      <c r="DW15" s="62">
        <v>80</v>
      </c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J15" s="59">
        <f t="shared" si="3"/>
        <v>0.21320000010000004</v>
      </c>
      <c r="EK15" s="63">
        <f t="shared" si="4"/>
        <v>0.34560000000000002</v>
      </c>
      <c r="EL15" s="62">
        <v>1</v>
      </c>
      <c r="EM15" s="64">
        <f t="shared" si="0"/>
        <v>0.86399999999999999</v>
      </c>
      <c r="EN15" s="62">
        <v>1</v>
      </c>
      <c r="EO15" s="22"/>
      <c r="EP15" s="62">
        <v>0.75</v>
      </c>
      <c r="EQ15" s="64">
        <v>0.50800000000000001</v>
      </c>
      <c r="ER15" s="64">
        <v>0.54900000000000004</v>
      </c>
      <c r="ES15" s="64">
        <v>0.53300000000000003</v>
      </c>
      <c r="ET15" s="64">
        <v>0.58599999999999997</v>
      </c>
      <c r="EU15" s="64">
        <v>0.50800000000000001</v>
      </c>
      <c r="EV15" s="64">
        <v>0.53300000000000003</v>
      </c>
      <c r="EW15" s="64">
        <v>0.53300000000000003</v>
      </c>
      <c r="EX15" s="64">
        <v>0.54100000000000004</v>
      </c>
      <c r="FH15" s="334" t="s">
        <v>575</v>
      </c>
      <c r="FL15" s="334" t="s">
        <v>576</v>
      </c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K15" s="59">
        <f t="shared" si="5"/>
        <v>0.16523000010000002</v>
      </c>
      <c r="GL15" s="63">
        <f t="shared" si="6"/>
        <v>0.26784000000000002</v>
      </c>
      <c r="GM15" s="62">
        <v>1</v>
      </c>
      <c r="GN15" s="64">
        <f t="shared" si="1"/>
        <v>0.86399999999999999</v>
      </c>
      <c r="GO15" s="62">
        <v>1</v>
      </c>
      <c r="GP15" s="22"/>
      <c r="GQ15" s="62">
        <v>0.75</v>
      </c>
      <c r="GR15" s="64">
        <v>0.50800000000000001</v>
      </c>
      <c r="GS15" s="64">
        <v>0.54900000000000004</v>
      </c>
      <c r="GT15" s="64">
        <v>0.53300000000000003</v>
      </c>
      <c r="GU15" s="64">
        <v>0.58599999999999997</v>
      </c>
      <c r="GV15" s="64">
        <v>0.50800000000000001</v>
      </c>
      <c r="GW15" s="64">
        <v>0.53300000000000003</v>
      </c>
      <c r="GX15" s="64">
        <v>0.53300000000000003</v>
      </c>
      <c r="GY15" s="64">
        <v>0.54100000000000004</v>
      </c>
    </row>
    <row r="16" spans="1:207" ht="12" customHeight="1">
      <c r="A16" s="92"/>
      <c r="B16" s="99" t="s">
        <v>904</v>
      </c>
      <c r="C16" s="95"/>
      <c r="D16" s="101" t="str">
        <f>IF(CC16&gt;0,CD16,IF(CC39&gt;0,CD39," "))</f>
        <v xml:space="preserve"> </v>
      </c>
      <c r="E16" s="251"/>
      <c r="F16" s="95" t="str">
        <f>IF(CC16&gt;0,"&gt;",IF(CC39&gt;0,"&gt;"," "))</f>
        <v xml:space="preserve"> </v>
      </c>
      <c r="G16" s="95" t="str">
        <f>IF(CC16&gt;0,"&gt;",IF(CC39&gt;0,"&gt;"," "))</f>
        <v xml:space="preserve"> </v>
      </c>
      <c r="H16" s="644">
        <v>75</v>
      </c>
      <c r="I16" s="94"/>
      <c r="J16" s="624"/>
      <c r="K16" s="94" t="s">
        <v>527</v>
      </c>
      <c r="L16" s="94"/>
      <c r="M16" s="94"/>
      <c r="N16" s="94"/>
      <c r="O16" s="287" t="str">
        <f>IF(CF14&gt;0,"ERROR",IF(H9&lt;&gt;"CONDUIT",'S-Sec Cable'!K18,CY81))</f>
        <v>#6</v>
      </c>
      <c r="P16" s="96"/>
      <c r="Q16" s="98"/>
      <c r="X16" s="133" t="str">
        <f>IF(D4="TRANSFORMER (3-PHASE)","3Y",IF(D4="TRANSFORMER (1-PHASE)",1,J8))</f>
        <v>NONE</v>
      </c>
      <c r="BY16" s="130"/>
      <c r="BZ16" s="130"/>
      <c r="CA16" s="131">
        <v>10</v>
      </c>
      <c r="CB16" s="129">
        <f>IF(SUM(CB$7:CB15)=0,CC16,0)</f>
        <v>0</v>
      </c>
      <c r="CC16" s="132">
        <f>IF(S4="NONE",0,IF(AND(H9="ROMEX",OR(H16=75,H16=90)),10,IF(H16=60,0,IF(H16=75,0,IF(H16=90,0,10)))))</f>
        <v>0</v>
      </c>
      <c r="CD16" s="133" t="str">
        <f>IF(AND(H9="ROMEX",OR(H16=75,H16=90)),"USE 60º C - PER NEC 334.80","ENTER WIRE TEMP")</f>
        <v>ENTER WIRE TEMP</v>
      </c>
      <c r="CE16" s="133" t="s">
        <v>12</v>
      </c>
      <c r="CF16" s="133"/>
      <c r="CG16" s="133"/>
      <c r="CH16" s="132"/>
      <c r="CI16" s="132"/>
      <c r="CJ16" s="133"/>
      <c r="CK16" s="133"/>
      <c r="CL16" s="133"/>
      <c r="CM16" s="133"/>
      <c r="CN16" s="133"/>
      <c r="CO16" s="133"/>
      <c r="CP16" s="133"/>
      <c r="CQ16" s="1"/>
      <c r="CX16" s="66" t="s">
        <v>68</v>
      </c>
      <c r="CY16" s="332" t="s">
        <v>68</v>
      </c>
      <c r="CZ16" s="332" t="s">
        <v>68</v>
      </c>
      <c r="DA16" s="66" t="s">
        <v>68</v>
      </c>
      <c r="DB16" s="66" t="s">
        <v>68</v>
      </c>
      <c r="DC16" s="62" t="s">
        <v>38</v>
      </c>
      <c r="DD16" s="62" t="s">
        <v>38</v>
      </c>
      <c r="DE16" s="62" t="s">
        <v>73</v>
      </c>
      <c r="DF16" s="62" t="s">
        <v>48</v>
      </c>
      <c r="DG16" s="62" t="s">
        <v>48</v>
      </c>
      <c r="DH16" s="62" t="s">
        <v>48</v>
      </c>
      <c r="DI16" s="27"/>
      <c r="DJ16" s="135" t="s">
        <v>48</v>
      </c>
      <c r="DK16" s="135" t="s">
        <v>48</v>
      </c>
      <c r="DL16" s="135" t="s">
        <v>48</v>
      </c>
      <c r="DN16" s="58" t="s">
        <v>68</v>
      </c>
      <c r="DO16" s="58" t="s">
        <v>69</v>
      </c>
      <c r="DP16" s="58" t="s">
        <v>70</v>
      </c>
      <c r="DQ16" s="58" t="s">
        <v>71</v>
      </c>
      <c r="DR16" s="58" t="s">
        <v>69</v>
      </c>
      <c r="DS16" s="58" t="s">
        <v>70</v>
      </c>
      <c r="DT16" s="58" t="s">
        <v>71</v>
      </c>
      <c r="DV16" s="62">
        <f t="shared" si="2"/>
        <v>80.000010000000003</v>
      </c>
      <c r="DW16" s="62">
        <v>90</v>
      </c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J16" s="59">
        <f t="shared" si="3"/>
        <v>0.34560000010000003</v>
      </c>
      <c r="EK16" s="63">
        <f t="shared" si="4"/>
        <v>0.59840000000000004</v>
      </c>
      <c r="EL16" s="62">
        <v>1.25</v>
      </c>
      <c r="EM16" s="64">
        <f t="shared" si="0"/>
        <v>1.496</v>
      </c>
      <c r="EN16" s="62">
        <v>1.25</v>
      </c>
      <c r="EO16" s="22"/>
      <c r="EP16" s="62">
        <v>1</v>
      </c>
      <c r="EQ16" s="64">
        <v>0.81699999999999995</v>
      </c>
      <c r="ER16" s="64">
        <v>0.88800000000000001</v>
      </c>
      <c r="ES16" s="64">
        <v>0.86399999999999999</v>
      </c>
      <c r="ET16" s="64">
        <v>0.95899999999999996</v>
      </c>
      <c r="EU16" s="64">
        <v>0.83199999999999996</v>
      </c>
      <c r="EV16" s="64">
        <v>0.86399999999999999</v>
      </c>
      <c r="EW16" s="64">
        <v>0.81699999999999995</v>
      </c>
      <c r="EX16" s="64">
        <v>0.872</v>
      </c>
      <c r="FH16" s="350"/>
      <c r="FI16" s="351" t="s">
        <v>574</v>
      </c>
      <c r="FJ16" s="351" t="s">
        <v>48</v>
      </c>
      <c r="FL16" s="350"/>
      <c r="FM16" s="351" t="s">
        <v>574</v>
      </c>
      <c r="FN16" s="351" t="s">
        <v>48</v>
      </c>
      <c r="FP16" s="334" t="s">
        <v>577</v>
      </c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K16" s="59">
        <f t="shared" si="5"/>
        <v>0.26784000010000003</v>
      </c>
      <c r="GL16" s="63">
        <f t="shared" si="6"/>
        <v>0.46376000000000001</v>
      </c>
      <c r="GM16" s="62">
        <v>1.25</v>
      </c>
      <c r="GN16" s="64">
        <f t="shared" si="1"/>
        <v>1.496</v>
      </c>
      <c r="GO16" s="62">
        <v>1.25</v>
      </c>
      <c r="GP16" s="22"/>
      <c r="GQ16" s="62">
        <v>1</v>
      </c>
      <c r="GR16" s="64">
        <v>0.81699999999999995</v>
      </c>
      <c r="GS16" s="64">
        <v>0.88800000000000001</v>
      </c>
      <c r="GT16" s="64">
        <v>0.86399999999999999</v>
      </c>
      <c r="GU16" s="64">
        <v>0.95899999999999996</v>
      </c>
      <c r="GV16" s="64">
        <v>0.83199999999999996</v>
      </c>
      <c r="GW16" s="64">
        <v>0.86399999999999999</v>
      </c>
      <c r="GX16" s="64">
        <v>0.81699999999999995</v>
      </c>
      <c r="GY16" s="64">
        <v>0.872</v>
      </c>
    </row>
    <row r="17" spans="1:207" ht="12" customHeight="1">
      <c r="A17" s="92"/>
      <c r="B17" s="99" t="s">
        <v>11</v>
      </c>
      <c r="C17" s="95"/>
      <c r="D17" s="101" t="str">
        <f>IF(CC17&gt;0,CD17,IF(CC40&gt;0,CD40," "))</f>
        <v xml:space="preserve"> </v>
      </c>
      <c r="E17" s="251"/>
      <c r="F17" s="95" t="str">
        <f>IF(CC17&gt;0,"&gt;",IF(CC40&gt;0,"&gt;"," "))</f>
        <v xml:space="preserve"> </v>
      </c>
      <c r="G17" s="95" t="str">
        <f>IF(CC17&gt;0,"&gt;",IF(CC40&gt;0,"&gt;"," "))</f>
        <v xml:space="preserve"> </v>
      </c>
      <c r="H17" s="122">
        <v>50</v>
      </c>
      <c r="I17" s="94"/>
      <c r="J17" s="625"/>
      <c r="K17" s="326"/>
      <c r="L17" s="94"/>
      <c r="M17" s="94"/>
      <c r="N17" s="94"/>
      <c r="O17" s="94"/>
      <c r="P17" s="96"/>
      <c r="Q17" s="98"/>
      <c r="BY17" s="130"/>
      <c r="BZ17" s="130"/>
      <c r="CA17" s="131">
        <v>11</v>
      </c>
      <c r="CB17" s="129">
        <f>IF(SUM(CB$7:CB16)=0,CC17,0)</f>
        <v>0</v>
      </c>
      <c r="CC17" s="132">
        <f>IF(S4="NONE",0,IF(ISNUMBER(H17)=TRUE,IF(SUM(H17)&gt;0,0,11),11))</f>
        <v>0</v>
      </c>
      <c r="CD17" s="133" t="s">
        <v>210</v>
      </c>
      <c r="CE17" s="133" t="s">
        <v>12</v>
      </c>
      <c r="CF17" s="133"/>
      <c r="CG17" s="133"/>
      <c r="CH17" s="132"/>
      <c r="CI17" s="132"/>
      <c r="CJ17" s="133"/>
      <c r="CK17" s="133"/>
      <c r="CL17" s="133"/>
      <c r="CM17" s="133"/>
      <c r="CN17" s="133"/>
      <c r="CO17" s="133"/>
      <c r="CP17" s="133"/>
      <c r="CQ17" s="1"/>
      <c r="CX17" s="66" t="s">
        <v>48</v>
      </c>
      <c r="CY17" s="332" t="s">
        <v>48</v>
      </c>
      <c r="CZ17" s="332" t="s">
        <v>48</v>
      </c>
      <c r="DA17" s="66" t="s">
        <v>48</v>
      </c>
      <c r="DB17" s="66" t="s">
        <v>48</v>
      </c>
      <c r="DC17" s="62" t="s">
        <v>74</v>
      </c>
      <c r="DD17" s="62" t="s">
        <v>7</v>
      </c>
      <c r="DE17" s="62" t="s">
        <v>21</v>
      </c>
      <c r="DF17" s="62" t="str">
        <f t="shared" ref="DF17:DH31" si="7">IF($CY$6="CU",DO18,IF($CY$6="AL",DR18,"ERR"))</f>
        <v>AL</v>
      </c>
      <c r="DG17" s="62" t="str">
        <f t="shared" si="7"/>
        <v>AL</v>
      </c>
      <c r="DH17" s="62" t="str">
        <f t="shared" si="7"/>
        <v>AL</v>
      </c>
      <c r="DI17" s="27"/>
      <c r="DJ17" s="135" t="str">
        <f>IF($DH$6="CU",DO18,IF($DH$6="AL",DR18,"ERR"))</f>
        <v>ERR</v>
      </c>
      <c r="DK17" s="135" t="str">
        <f>IF($DH$6="CU",DP18,IF($DH$6="AL",DS18,"ERR"))</f>
        <v>ERR</v>
      </c>
      <c r="DL17" s="135" t="str">
        <f>IF($DH$6="CU",DQ18,IF($DH$6="AL",DT18,"ERR"))</f>
        <v>ERR</v>
      </c>
      <c r="DN17" s="62" t="s">
        <v>38</v>
      </c>
      <c r="DO17" s="62" t="s">
        <v>48</v>
      </c>
      <c r="DP17" s="62" t="s">
        <v>48</v>
      </c>
      <c r="DQ17" s="62" t="s">
        <v>48</v>
      </c>
      <c r="DR17" s="62" t="s">
        <v>48</v>
      </c>
      <c r="DS17" s="62" t="s">
        <v>48</v>
      </c>
      <c r="DT17" s="62" t="s">
        <v>48</v>
      </c>
      <c r="DV17" s="62">
        <f t="shared" si="2"/>
        <v>90.000010000000003</v>
      </c>
      <c r="DW17" s="62">
        <v>100</v>
      </c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J17" s="59">
        <f t="shared" si="3"/>
        <v>0.59840000010000005</v>
      </c>
      <c r="EK17" s="63">
        <f t="shared" si="4"/>
        <v>0.81440000000000001</v>
      </c>
      <c r="EL17" s="62">
        <v>1.5</v>
      </c>
      <c r="EM17" s="64">
        <f t="shared" si="0"/>
        <v>2.036</v>
      </c>
      <c r="EN17" s="62">
        <v>1.5</v>
      </c>
      <c r="EO17" s="22"/>
      <c r="EP17" s="62">
        <v>1.25</v>
      </c>
      <c r="EQ17" s="64">
        <v>1.2769999999999999</v>
      </c>
      <c r="ER17" s="64">
        <v>1.526</v>
      </c>
      <c r="ES17" s="64">
        <v>1.496</v>
      </c>
      <c r="ET17" s="64">
        <v>1.6459999999999999</v>
      </c>
      <c r="EU17" s="64">
        <v>1.4530000000000001</v>
      </c>
      <c r="EV17" s="64">
        <v>1.4950000000000001</v>
      </c>
      <c r="EW17" s="64">
        <v>1.2769999999999999</v>
      </c>
      <c r="EX17" s="64">
        <v>1.528</v>
      </c>
      <c r="FG17" s="352">
        <v>0</v>
      </c>
      <c r="FH17" s="352">
        <v>0</v>
      </c>
      <c r="FI17" s="353">
        <v>15</v>
      </c>
      <c r="FJ17" s="352">
        <f>IF(ROUND(FI17*1000/FJ$3,0)&gt;400,400,ROUND(FI17*1000/FJ$3,0))</f>
        <v>63</v>
      </c>
      <c r="FK17" s="352">
        <v>0</v>
      </c>
      <c r="FL17" s="354">
        <v>0</v>
      </c>
      <c r="FM17" s="353">
        <v>25</v>
      </c>
      <c r="FN17" s="352">
        <f>IF(ROUND(FM17*1000/FJ$3/1.732,0)&gt;400,400,ROUND(FM17*1000/FJ$3/1.732,0))</f>
        <v>60</v>
      </c>
      <c r="FP17" s="334" t="s">
        <v>578</v>
      </c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K17" s="59">
        <f t="shared" si="5"/>
        <v>0.46376000010000001</v>
      </c>
      <c r="GL17" s="63">
        <f t="shared" si="6"/>
        <v>0.63116000000000005</v>
      </c>
      <c r="GM17" s="62">
        <v>1.5</v>
      </c>
      <c r="GN17" s="64">
        <f t="shared" si="1"/>
        <v>2.036</v>
      </c>
      <c r="GO17" s="62">
        <v>1.5</v>
      </c>
      <c r="GP17" s="22"/>
      <c r="GQ17" s="62">
        <v>1.25</v>
      </c>
      <c r="GR17" s="64">
        <v>1.2769999999999999</v>
      </c>
      <c r="GS17" s="64">
        <v>1.526</v>
      </c>
      <c r="GT17" s="64">
        <v>1.496</v>
      </c>
      <c r="GU17" s="64">
        <v>1.6459999999999999</v>
      </c>
      <c r="GV17" s="64">
        <v>1.4530000000000001</v>
      </c>
      <c r="GW17" s="64">
        <v>1.4950000000000001</v>
      </c>
      <c r="GX17" s="64">
        <v>1.2769999999999999</v>
      </c>
      <c r="GY17" s="64">
        <v>1.528</v>
      </c>
    </row>
    <row r="18" spans="1:207" ht="12" customHeight="1">
      <c r="A18" s="92"/>
      <c r="B18" s="99" t="str">
        <f>IF(H9&lt;&gt;"CONDUIT"," ","CONDUIT TYPE")</f>
        <v xml:space="preserve"> </v>
      </c>
      <c r="C18" s="95"/>
      <c r="D18" s="101" t="str">
        <f>IF(CC18&gt;0,CD18,IF(CC41&gt;0,CD41," "))</f>
        <v xml:space="preserve"> </v>
      </c>
      <c r="E18" s="251"/>
      <c r="F18" s="95" t="str">
        <f>IF(CC18&gt;0,"&gt;",IF(CC41&gt;0,"&gt;"," "))</f>
        <v xml:space="preserve"> </v>
      </c>
      <c r="G18" s="95" t="str">
        <f>IF(CC18&gt;0,"&gt;",IF(CC41&gt;0,"&gt;"," "))</f>
        <v xml:space="preserve"> </v>
      </c>
      <c r="H18" s="121" t="s">
        <v>41</v>
      </c>
      <c r="I18" s="94"/>
      <c r="J18" s="624"/>
      <c r="K18" s="601"/>
      <c r="L18" s="94"/>
      <c r="M18" s="94"/>
      <c r="N18" s="94"/>
      <c r="O18" s="95"/>
      <c r="P18" s="96"/>
      <c r="Q18" s="98"/>
      <c r="R18" s="16"/>
      <c r="W18" s="498"/>
      <c r="BY18" s="130"/>
      <c r="BZ18" s="130"/>
      <c r="CA18" s="131">
        <v>12</v>
      </c>
      <c r="CB18" s="129">
        <f>IF(SUM(CB$7:CB17)=0,CC18,0)</f>
        <v>0</v>
      </c>
      <c r="CC18" s="132">
        <f>IF(S4="NONE",0,IF(H9&lt;&gt;"CONDUIT",0,IF(SUM(CE18:CF18)=0,12,0)))</f>
        <v>0</v>
      </c>
      <c r="CD18" s="133" t="s">
        <v>211</v>
      </c>
      <c r="CE18" s="133">
        <f>IF(ISTEXT(H18)=TRUE,IF(H18="GENERAL",1,IF(H18="RIGID",1,IF(H18="EMT",1,IF(H18="IMC",1,IF(H18="PVC-40",1,IF(H18="RIGID/PVC",1,IF(H18="FLEX",1,0))))))),0)</f>
        <v>1</v>
      </c>
      <c r="CF18" s="133">
        <f>IF(CE18=0,IF(ISTEXT(H18)=TRUE,IF(CE18&gt;0,CE18,IF(H18="LT-FLEX",1,0)),0),0)</f>
        <v>0</v>
      </c>
      <c r="CG18" s="133"/>
      <c r="CH18" s="132"/>
      <c r="CI18" s="132"/>
      <c r="CJ18" s="133"/>
      <c r="CK18" s="133"/>
      <c r="CL18" s="133"/>
      <c r="CM18" s="133"/>
      <c r="CN18" s="133"/>
      <c r="CO18" s="133"/>
      <c r="CP18" s="133"/>
      <c r="CQ18" s="1"/>
      <c r="CX18" s="58">
        <v>0</v>
      </c>
      <c r="CY18" s="132">
        <v>0</v>
      </c>
      <c r="CZ18" s="134" t="str">
        <f>IF($CZ$7=60,DJ18,IF($CZ$7=75,DK18,IF($CZ$7=90,DL18,"ERR")))</f>
        <v>ERR</v>
      </c>
      <c r="DA18" s="58">
        <f t="shared" ref="DA18:DA49" si="8">IF($CZ$12=3,DB18,IF($CZ$12=4,DB18,IF($CZ$12=5,(DB18*0.8),"ERR")))</f>
        <v>50</v>
      </c>
      <c r="DB18" s="58">
        <f t="shared" ref="DB18:DB31" si="9">IF($CY$7=60,DF18,IF($CY$7=75,DG18,IF($CY$7=90,DH18,"ERR")))</f>
        <v>50</v>
      </c>
      <c r="DC18" s="58" t="s">
        <v>76</v>
      </c>
      <c r="DD18" s="58">
        <v>5</v>
      </c>
      <c r="DE18" s="58">
        <v>1</v>
      </c>
      <c r="DF18" s="58">
        <f t="shared" si="7"/>
        <v>40</v>
      </c>
      <c r="DG18" s="58">
        <f t="shared" si="7"/>
        <v>50</v>
      </c>
      <c r="DH18" s="58">
        <f t="shared" si="7"/>
        <v>60</v>
      </c>
      <c r="DI18" s="27"/>
      <c r="DJ18" s="134" t="str">
        <f>IF($DH$6="CU",DO19,IF($DH$6="AL",DR19,"ERR"))</f>
        <v>ERR</v>
      </c>
      <c r="DK18" s="134" t="str">
        <f t="shared" ref="DK18:DK31" si="10">IF($DH$6="CU",DP19,IF($DH$6="AL",DS19,"ERR"))</f>
        <v>ERR</v>
      </c>
      <c r="DL18" s="134" t="str">
        <f t="shared" ref="DL18:DL31" si="11">IF($DH$6="CU",DQ19,IF($DH$6="AL",DT19,"ERR"))</f>
        <v>ERR</v>
      </c>
      <c r="DN18" s="62" t="s">
        <v>74</v>
      </c>
      <c r="DO18" s="62" t="s">
        <v>60</v>
      </c>
      <c r="DP18" s="62" t="s">
        <v>60</v>
      </c>
      <c r="DQ18" s="62" t="s">
        <v>60</v>
      </c>
      <c r="DR18" s="62" t="s">
        <v>77</v>
      </c>
      <c r="DS18" s="62" t="s">
        <v>77</v>
      </c>
      <c r="DT18" s="62" t="s">
        <v>77</v>
      </c>
      <c r="DV18" s="62">
        <f t="shared" si="2"/>
        <v>100.00001</v>
      </c>
      <c r="DW18" s="62">
        <v>110</v>
      </c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J18" s="59">
        <f t="shared" si="3"/>
        <v>0.81440000010000002</v>
      </c>
      <c r="EK18" s="63">
        <f t="shared" si="4"/>
        <v>1.3424</v>
      </c>
      <c r="EL18" s="62">
        <v>2</v>
      </c>
      <c r="EM18" s="64">
        <f t="shared" si="0"/>
        <v>3.3559999999999999</v>
      </c>
      <c r="EN18" s="62">
        <v>2</v>
      </c>
      <c r="EO18" s="22"/>
      <c r="EP18" s="62">
        <v>1.5</v>
      </c>
      <c r="EQ18" s="64">
        <v>1.857</v>
      </c>
      <c r="ER18" s="64">
        <v>2.0710000000000002</v>
      </c>
      <c r="ES18" s="64">
        <v>2.036</v>
      </c>
      <c r="ET18" s="64">
        <v>2.2229999999999999</v>
      </c>
      <c r="EU18" s="64">
        <v>1.986</v>
      </c>
      <c r="EV18" s="64">
        <v>2.036</v>
      </c>
      <c r="EW18" s="64">
        <v>1.857</v>
      </c>
      <c r="EX18" s="64">
        <v>1.9790000000000001</v>
      </c>
      <c r="FG18" s="353">
        <f>FJ17+0.00000001</f>
        <v>63.000000010000001</v>
      </c>
      <c r="FH18" s="353">
        <f>FI17+0.00000001</f>
        <v>15.000000010000001</v>
      </c>
      <c r="FI18" s="353">
        <v>20</v>
      </c>
      <c r="FJ18" s="353">
        <f t="shared" ref="FJ18:FJ26" si="12">IF(ROUND(FI18*1000/FJ$3,0)&gt;400,400,ROUND(FI18*1000/FJ$3,0))</f>
        <v>83</v>
      </c>
      <c r="FK18" s="353">
        <f>FN17+0.00000001</f>
        <v>60.000000010000001</v>
      </c>
      <c r="FL18" s="354">
        <v>25.000000100000001</v>
      </c>
      <c r="FM18" s="353">
        <v>30</v>
      </c>
      <c r="FN18" s="353">
        <f t="shared" ref="FN18:FN26" si="13">IF(ROUND(FM18*1000/FJ$3/1.732,0)&gt;400,400,ROUND(FM18*1000/FJ$3/1.732,0))</f>
        <v>72</v>
      </c>
      <c r="FZ18" s="22"/>
      <c r="GA18" s="22"/>
      <c r="GB18" s="22"/>
      <c r="GC18" s="22"/>
      <c r="GD18" s="22"/>
      <c r="GE18" s="22"/>
      <c r="GF18" s="22"/>
      <c r="GG18" s="22"/>
      <c r="GH18" s="22"/>
      <c r="GI18" s="56">
        <f>GL27</f>
        <v>0.75</v>
      </c>
      <c r="GK18" s="59">
        <f t="shared" si="5"/>
        <v>0.63116000010000006</v>
      </c>
      <c r="GL18" s="63">
        <f t="shared" si="6"/>
        <v>1.04036</v>
      </c>
      <c r="GM18" s="62">
        <v>2</v>
      </c>
      <c r="GN18" s="64">
        <f t="shared" si="1"/>
        <v>3.3559999999999999</v>
      </c>
      <c r="GO18" s="62">
        <v>2</v>
      </c>
      <c r="GP18" s="22"/>
      <c r="GQ18" s="62">
        <v>1.5</v>
      </c>
      <c r="GR18" s="64">
        <v>1.857</v>
      </c>
      <c r="GS18" s="64">
        <v>2.0710000000000002</v>
      </c>
      <c r="GT18" s="64">
        <v>2.036</v>
      </c>
      <c r="GU18" s="64">
        <v>2.2229999999999999</v>
      </c>
      <c r="GV18" s="64">
        <v>1.986</v>
      </c>
      <c r="GW18" s="64">
        <v>2.036</v>
      </c>
      <c r="GX18" s="64">
        <v>1.857</v>
      </c>
      <c r="GY18" s="64">
        <v>1.9790000000000001</v>
      </c>
    </row>
    <row r="19" spans="1:207" ht="12" customHeight="1">
      <c r="A19" s="92"/>
      <c r="B19" s="99" t="s">
        <v>22</v>
      </c>
      <c r="C19" s="95"/>
      <c r="D19" s="101" t="str">
        <f>IF(CC19&gt;0,CD19,IF(AND($H$8="3D",$H$10="AUTO"),"( L1 &amp; L3 )"," "))</f>
        <v xml:space="preserve"> </v>
      </c>
      <c r="E19" s="251"/>
      <c r="F19" s="95" t="str">
        <f t="shared" ref="F19:F24" si="14">IF(CC19&gt;0,"&gt;"," ")</f>
        <v xml:space="preserve"> </v>
      </c>
      <c r="G19" s="95" t="str">
        <f t="shared" ref="G19:G24" si="15">IF(CC19&gt;0,"&gt;"," ")</f>
        <v xml:space="preserve"> </v>
      </c>
      <c r="H19" s="120">
        <v>0</v>
      </c>
      <c r="I19" s="94"/>
      <c r="J19" s="324"/>
      <c r="K19" s="601"/>
      <c r="L19" s="94"/>
      <c r="M19" s="664"/>
      <c r="N19" s="664"/>
      <c r="O19" s="95"/>
      <c r="P19" s="96"/>
      <c r="Q19" s="98"/>
      <c r="BY19" s="130"/>
      <c r="BZ19" s="130"/>
      <c r="CA19" s="131">
        <v>13</v>
      </c>
      <c r="CB19" s="129">
        <f>IF(SUM(CB$7:CB18)=0,CC19,0)</f>
        <v>0</v>
      </c>
      <c r="CC19" s="132">
        <f>IF(CG$2&gt;0,0,IF(S4="NONE",0,IF(ISBLANK(H19)=TRUE,13,IF(H19&lt;0,13,IF(H19&gt;400,13,IF(AND(S5&gt;0,S4&lt;&gt;"NONE",CC30&lt;&gt;24),43,0))))))</f>
        <v>0</v>
      </c>
      <c r="CD19" s="133" t="str">
        <f>IF(AND($H$8="3D",$H$10="AUTO"),"ENTER MIN AMPS ( L1 &amp; L3 )",IF(S4&gt;0,"CHECK ENTRY","ENTER MINI AMPS"))</f>
        <v>CHECK ENTRY</v>
      </c>
      <c r="CE19" s="132"/>
      <c r="CF19" s="133"/>
      <c r="CG19" s="133"/>
      <c r="CH19" s="132"/>
      <c r="CI19" s="132"/>
      <c r="CJ19" s="133"/>
      <c r="CK19" s="133"/>
      <c r="CL19" s="133"/>
      <c r="CM19" s="133"/>
      <c r="CN19" s="133"/>
      <c r="CO19" s="133"/>
      <c r="CP19" s="133"/>
      <c r="CQ19" s="1"/>
      <c r="CX19" s="62">
        <f>DA18+0.00001</f>
        <v>50.000010000000003</v>
      </c>
      <c r="CY19" s="132" t="e">
        <f>CZ18+0.00001</f>
        <v>#VALUE!</v>
      </c>
      <c r="CZ19" s="135" t="str">
        <f t="shared" ref="CZ19:CZ31" si="16">IF($CZ$7=60,DJ19,IF($CZ$7=75,DK19,IF($CZ$7=90,DL19,"ERR")))</f>
        <v>ERR</v>
      </c>
      <c r="DA19" s="62">
        <f t="shared" si="8"/>
        <v>65</v>
      </c>
      <c r="DB19" s="62">
        <f t="shared" si="9"/>
        <v>65</v>
      </c>
      <c r="DC19" s="62" t="s">
        <v>80</v>
      </c>
      <c r="DD19" s="62">
        <v>6</v>
      </c>
      <c r="DE19" s="62">
        <v>1</v>
      </c>
      <c r="DF19" s="62">
        <f t="shared" si="7"/>
        <v>55</v>
      </c>
      <c r="DG19" s="62">
        <f t="shared" si="7"/>
        <v>65</v>
      </c>
      <c r="DH19" s="62">
        <f t="shared" si="7"/>
        <v>75</v>
      </c>
      <c r="DI19" s="27"/>
      <c r="DJ19" s="135" t="str">
        <f t="shared" ref="DJ19:DJ31" si="17">IF($DH$6="CU",DO20,IF($DH$6="AL",DR20,"ERR"))</f>
        <v>ERR</v>
      </c>
      <c r="DK19" s="135" t="str">
        <f t="shared" si="10"/>
        <v>ERR</v>
      </c>
      <c r="DL19" s="135" t="str">
        <f t="shared" si="11"/>
        <v>ERR</v>
      </c>
      <c r="DN19" s="58" t="s">
        <v>76</v>
      </c>
      <c r="DO19" s="58">
        <v>55</v>
      </c>
      <c r="DP19" s="58">
        <v>65</v>
      </c>
      <c r="DQ19" s="58">
        <v>75</v>
      </c>
      <c r="DR19" s="58">
        <v>40</v>
      </c>
      <c r="DS19" s="58">
        <v>50</v>
      </c>
      <c r="DT19" s="58">
        <v>60</v>
      </c>
      <c r="DV19" s="62">
        <f t="shared" si="2"/>
        <v>110.00001</v>
      </c>
      <c r="DW19" s="62">
        <v>125</v>
      </c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J19" s="59">
        <f t="shared" si="3"/>
        <v>1.3424000001</v>
      </c>
      <c r="EK19" s="63">
        <f t="shared" si="4"/>
        <v>2.3431999999999999</v>
      </c>
      <c r="EL19" s="62">
        <v>2.5</v>
      </c>
      <c r="EM19" s="64">
        <f t="shared" si="0"/>
        <v>5.8579999999999997</v>
      </c>
      <c r="EN19" s="62">
        <v>2.5</v>
      </c>
      <c r="EO19" s="22"/>
      <c r="EP19" s="62">
        <v>2</v>
      </c>
      <c r="EQ19" s="64">
        <v>3.2450000000000001</v>
      </c>
      <c r="ER19" s="64">
        <v>3.4079999999999999</v>
      </c>
      <c r="ES19" s="64">
        <v>3.3559999999999999</v>
      </c>
      <c r="ET19" s="64">
        <v>3.629</v>
      </c>
      <c r="EU19" s="64">
        <v>3.2909999999999999</v>
      </c>
      <c r="EV19" s="64">
        <v>3.355</v>
      </c>
      <c r="EW19" s="64">
        <v>3.2690000000000001</v>
      </c>
      <c r="EX19" s="64">
        <v>3.2450000000000001</v>
      </c>
      <c r="FG19" s="353">
        <f t="shared" ref="FG19:FG26" si="18">FJ18+0.00000001</f>
        <v>83.000000009999994</v>
      </c>
      <c r="FH19" s="353">
        <f t="shared" ref="FH19:FH24" si="19">FI18+0.00000001</f>
        <v>20.000000010000001</v>
      </c>
      <c r="FI19" s="353">
        <v>25</v>
      </c>
      <c r="FJ19" s="353">
        <f t="shared" si="12"/>
        <v>104</v>
      </c>
      <c r="FK19" s="353">
        <f t="shared" ref="FK19:FK26" si="20">FN18+0.00000001</f>
        <v>72.000000009999994</v>
      </c>
      <c r="FL19" s="354">
        <v>30.000000100000001</v>
      </c>
      <c r="FM19" s="353">
        <v>37.5</v>
      </c>
      <c r="FN19" s="353">
        <f t="shared" si="13"/>
        <v>90</v>
      </c>
      <c r="FZ19" s="22"/>
      <c r="GA19" s="22"/>
      <c r="GB19" s="22"/>
      <c r="GC19" s="22"/>
      <c r="GD19" s="22"/>
      <c r="GE19" s="22"/>
      <c r="GF19" s="22"/>
      <c r="GG19" s="22"/>
      <c r="GH19" s="22"/>
      <c r="GI19" s="56" t="str">
        <f>IF(GI18=0.5,"1/2''",IF(GI18=0.75,"3/4''",IF(GI18=1,"1''",IF(GI18=1.25,"1 1/4''",IF(GI18=1.5,"1 1/2''",IF(GI18=2,"2''",0))))))</f>
        <v>3/4''</v>
      </c>
      <c r="GK19" s="59">
        <f t="shared" si="5"/>
        <v>1.0403600001</v>
      </c>
      <c r="GL19" s="63">
        <f t="shared" si="6"/>
        <v>1.8159799999999999</v>
      </c>
      <c r="GM19" s="62">
        <v>2.5</v>
      </c>
      <c r="GN19" s="64">
        <f t="shared" si="1"/>
        <v>5.8579999999999997</v>
      </c>
      <c r="GO19" s="62">
        <v>2.5</v>
      </c>
      <c r="GP19" s="22"/>
      <c r="GQ19" s="62">
        <v>2</v>
      </c>
      <c r="GR19" s="64">
        <v>3.2450000000000001</v>
      </c>
      <c r="GS19" s="64">
        <v>3.4079999999999999</v>
      </c>
      <c r="GT19" s="64">
        <v>3.3559999999999999</v>
      </c>
      <c r="GU19" s="64">
        <v>3.629</v>
      </c>
      <c r="GV19" s="64">
        <v>3.2909999999999999</v>
      </c>
      <c r="GW19" s="64">
        <v>3.355</v>
      </c>
      <c r="GX19" s="64">
        <v>3.2690000000000001</v>
      </c>
      <c r="GY19" s="64">
        <v>3.2450000000000001</v>
      </c>
    </row>
    <row r="20" spans="1:207" ht="12" customHeight="1">
      <c r="A20" s="92"/>
      <c r="B20" s="99"/>
      <c r="C20" s="95"/>
      <c r="D20" s="101"/>
      <c r="E20" s="626"/>
      <c r="F20" s="95"/>
      <c r="G20" s="95"/>
      <c r="H20" s="618"/>
      <c r="I20" s="94"/>
      <c r="J20" s="323"/>
      <c r="K20" s="601"/>
      <c r="L20" s="94"/>
      <c r="M20" s="665"/>
      <c r="N20" s="665" t="s">
        <v>977</v>
      </c>
      <c r="O20" s="95"/>
      <c r="P20" s="96"/>
      <c r="Q20" s="98"/>
      <c r="BY20" s="130"/>
      <c r="BZ20" s="130"/>
      <c r="CA20" s="131">
        <v>14</v>
      </c>
      <c r="CB20" s="129">
        <f>IF(SUM(CB$7:CB19)=0,CC20,0)</f>
        <v>0</v>
      </c>
      <c r="CC20" s="132">
        <f>IF(S4="NONE",0,IF(AND(H8="3D",H10="AUTO",H20&gt;H19),14,IF($H$8&lt;&gt;"3D",0,IF($H$10="FULL",0,IF(ISBLANK(H20)=TRUE,14,IF(ISNUMBER(H20)=TRUE,IF(H20&lt;0,14,0),14))))))</f>
        <v>0</v>
      </c>
      <c r="CD20" s="133" t="str">
        <f>IF(H20&gt;H19,"MAY NOT EXCEED ( L1 &amp; L3 )","ENTER MIN AMPS (L2)")</f>
        <v>ENTER MIN AMPS (L2)</v>
      </c>
      <c r="CE20" s="132"/>
      <c r="CF20" s="133"/>
      <c r="CG20" s="133"/>
      <c r="CH20" s="132"/>
      <c r="CI20" s="132"/>
      <c r="CJ20" s="133"/>
      <c r="CK20" s="133"/>
      <c r="CL20" s="133"/>
      <c r="CM20" s="133"/>
      <c r="CN20" s="133"/>
      <c r="CO20" s="133"/>
      <c r="CP20" s="133"/>
      <c r="CQ20" s="1"/>
      <c r="CX20" s="62">
        <f t="shared" ref="CX20:CX49" si="21">DA19+0.00001</f>
        <v>65.000010000000003</v>
      </c>
      <c r="CY20" s="132" t="e">
        <f t="shared" ref="CY20:CY37" si="22">CZ19+0.00001</f>
        <v>#VALUE!</v>
      </c>
      <c r="CZ20" s="135" t="str">
        <f t="shared" si="16"/>
        <v>ERR</v>
      </c>
      <c r="DA20" s="62">
        <f t="shared" si="8"/>
        <v>75</v>
      </c>
      <c r="DB20" s="62">
        <f t="shared" si="9"/>
        <v>75</v>
      </c>
      <c r="DC20" s="62" t="str">
        <f>IF(CY6="AL",DC19,"#3")</f>
        <v>#4</v>
      </c>
      <c r="DD20" s="62">
        <f>IF(CY6="AL",DD19,7)</f>
        <v>6</v>
      </c>
      <c r="DE20" s="62">
        <f>IF(CY6="AL",DE19,1)</f>
        <v>1</v>
      </c>
      <c r="DF20" s="62">
        <f>IF($CY$6="CU",DO21,IF($CY$6="AL",DR21,"ERR"))</f>
        <v>65</v>
      </c>
      <c r="DG20" s="62">
        <f>IF($CY$6="CU",DP21,IF($CY$6="AL",DS21,"ERR"))</f>
        <v>75</v>
      </c>
      <c r="DH20" s="62">
        <f>IF($CY$6="CU",DQ21,IF($CY$6="AL",DT21,"ERR"))</f>
        <v>85</v>
      </c>
      <c r="DI20" s="27"/>
      <c r="DJ20" s="135" t="str">
        <f t="shared" si="17"/>
        <v>ERR</v>
      </c>
      <c r="DK20" s="135" t="str">
        <f t="shared" si="10"/>
        <v>ERR</v>
      </c>
      <c r="DL20" s="135" t="str">
        <f t="shared" si="11"/>
        <v>ERR</v>
      </c>
      <c r="DN20" s="62" t="s">
        <v>80</v>
      </c>
      <c r="DO20" s="62">
        <v>70</v>
      </c>
      <c r="DP20" s="62">
        <v>85</v>
      </c>
      <c r="DQ20" s="62">
        <v>95</v>
      </c>
      <c r="DR20" s="62">
        <v>55</v>
      </c>
      <c r="DS20" s="62">
        <v>65</v>
      </c>
      <c r="DT20" s="62">
        <v>75</v>
      </c>
      <c r="DV20" s="62">
        <f t="shared" si="2"/>
        <v>125.00001</v>
      </c>
      <c r="DW20" s="62">
        <v>150</v>
      </c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J20" s="59">
        <f t="shared" si="3"/>
        <v>2.3432000001</v>
      </c>
      <c r="EK20" s="63">
        <f t="shared" si="4"/>
        <v>3.5384000000000002</v>
      </c>
      <c r="EL20" s="62">
        <v>3</v>
      </c>
      <c r="EM20" s="64">
        <f>IF($EK$6=1,EQ21,IF($EK$6=2,ER21,IF($EK$6=3,ES21,IF($EK$6=4,ET21,IF($EK$6=5,EU21,IF($EK$6=6,EV21,IF($EK$6=7,EW21,IF($EK$6=8,EX21))))))))</f>
        <v>8.8460000000000001</v>
      </c>
      <c r="EN20" s="62">
        <v>3</v>
      </c>
      <c r="EO20" s="22"/>
      <c r="EP20" s="62">
        <v>2.5</v>
      </c>
      <c r="EQ20" s="64">
        <v>4.6950000000000003</v>
      </c>
      <c r="ER20" s="64">
        <v>4.8659999999999997</v>
      </c>
      <c r="ES20" s="64">
        <v>5.8579999999999997</v>
      </c>
      <c r="ET20" s="64">
        <v>5.1349999999999998</v>
      </c>
      <c r="EU20" s="64">
        <v>4.6950000000000003</v>
      </c>
      <c r="EV20" s="64">
        <v>4.7880000000000003</v>
      </c>
      <c r="EW20" s="64">
        <v>4.9089999999999998</v>
      </c>
      <c r="EX20" s="64">
        <v>4.8789999999999996</v>
      </c>
      <c r="FG20" s="353">
        <f t="shared" si="18"/>
        <v>104.00000000999999</v>
      </c>
      <c r="FH20" s="353">
        <f t="shared" si="19"/>
        <v>25.000000010000001</v>
      </c>
      <c r="FI20" s="353">
        <v>30</v>
      </c>
      <c r="FJ20" s="353">
        <f t="shared" si="12"/>
        <v>125</v>
      </c>
      <c r="FK20" s="353">
        <f t="shared" si="20"/>
        <v>90.000000009999994</v>
      </c>
      <c r="FL20" s="354">
        <v>37.500000100000001</v>
      </c>
      <c r="FM20" s="353">
        <v>45</v>
      </c>
      <c r="FN20" s="353">
        <f t="shared" si="13"/>
        <v>108</v>
      </c>
      <c r="FP20" s="337" t="str">
        <f>IF(D4=X11," ","AUTO")</f>
        <v xml:space="preserve"> </v>
      </c>
      <c r="FQ20" s="334" t="str">
        <f>H$4</f>
        <v>AUTO</v>
      </c>
      <c r="FR20" s="334">
        <f>IF(FP20=FQ20,0,1)</f>
        <v>1</v>
      </c>
      <c r="FZ20" s="22"/>
      <c r="GA20" s="22"/>
      <c r="GB20" s="22"/>
      <c r="GC20" s="22"/>
      <c r="GD20" s="22"/>
      <c r="GE20" s="22"/>
      <c r="GF20" s="22"/>
      <c r="GG20" s="22"/>
      <c r="GH20" s="22"/>
      <c r="GI20" s="56">
        <f>IF(GI18=2.5,"2 1/2''",IF(GI18=3,"3''",IF(GI18=3.5,"3 1/2''",IF(GI18=4,"4''",0))))</f>
        <v>0</v>
      </c>
      <c r="GK20" s="59">
        <f t="shared" si="5"/>
        <v>1.8159800000999999</v>
      </c>
      <c r="GL20" s="63">
        <f t="shared" si="6"/>
        <v>2.7422599999999999</v>
      </c>
      <c r="GM20" s="62">
        <v>3</v>
      </c>
      <c r="GN20" s="64">
        <f>IF($EK$6=1,GR21,IF($EK$6=2,GS21,IF($EK$6=3,GT21,IF($EK$6=4,GU21,IF($EK$6=5,GV21,IF($EK$6=6,GW21,IF($EK$6=7,GX21,IF($EK$6=8,GY21))))))))</f>
        <v>8.8460000000000001</v>
      </c>
      <c r="GO20" s="62">
        <v>3</v>
      </c>
      <c r="GP20" s="22"/>
      <c r="GQ20" s="62">
        <v>2.5</v>
      </c>
      <c r="GR20" s="64">
        <v>4.6950000000000003</v>
      </c>
      <c r="GS20" s="64">
        <v>4.8659999999999997</v>
      </c>
      <c r="GT20" s="64">
        <v>5.8579999999999997</v>
      </c>
      <c r="GU20" s="64">
        <v>5.1349999999999998</v>
      </c>
      <c r="GV20" s="64">
        <v>4.6950000000000003</v>
      </c>
      <c r="GW20" s="64">
        <v>4.7880000000000003</v>
      </c>
      <c r="GX20" s="64">
        <v>4.9089999999999998</v>
      </c>
      <c r="GY20" s="64">
        <v>4.8789999999999996</v>
      </c>
    </row>
    <row r="21" spans="1:207" ht="12" customHeight="1">
      <c r="A21" s="92"/>
      <c r="B21" s="99" t="s">
        <v>564</v>
      </c>
      <c r="C21" s="95"/>
      <c r="D21" s="101" t="str">
        <f>IF(CC21&gt;0,"ENTER # OF KITCHEN LOADS"," ")</f>
        <v xml:space="preserve"> </v>
      </c>
      <c r="E21" s="251"/>
      <c r="F21" s="95" t="str">
        <f t="shared" si="14"/>
        <v xml:space="preserve"> </v>
      </c>
      <c r="G21" s="95" t="str">
        <f t="shared" si="15"/>
        <v xml:space="preserve"> </v>
      </c>
      <c r="H21" s="120">
        <v>0</v>
      </c>
      <c r="I21" s="94"/>
      <c r="J21" s="323"/>
      <c r="K21" s="601"/>
      <c r="L21" s="94"/>
      <c r="M21" s="666"/>
      <c r="N21" s="666"/>
      <c r="O21" s="95"/>
      <c r="P21" s="96"/>
      <c r="Q21" s="98"/>
      <c r="BY21" s="130"/>
      <c r="BZ21" s="130"/>
      <c r="CA21" s="131">
        <v>15</v>
      </c>
      <c r="CB21" s="129">
        <f>IF(SUM(CB$7:CB19)=0,CC21,0)</f>
        <v>0</v>
      </c>
      <c r="CC21" s="132">
        <f>IF(S4="NONE",0,IF(ISBLANK(H21)=TRUE,15,IF(ISNUMBER(H21)=TRUE,IF(H21&lt;0,15,0),15)))</f>
        <v>0</v>
      </c>
      <c r="CD21" s="133" t="s">
        <v>366</v>
      </c>
      <c r="CE21" s="126">
        <f>IF(ISTEXT(J18)=TRUE,IF(J18="GENERAL",1,IF(J18="RIGID",1,IF(J18="EMT",1,IF(J18="IMC",1,IF(J18="PVC-40",1,IF(J18="RIGID/PVC",1,IF(J18="FLEX",1,0))))))),0)</f>
        <v>0</v>
      </c>
      <c r="CF21" s="133">
        <f>IF(CE21=0,IF(ISTEXT(J18)=TRUE,IF(CE21&gt;0,CE21,IF(J18="LT-FLEX",1,0)),0),0)</f>
        <v>0</v>
      </c>
      <c r="CG21" s="133"/>
      <c r="CH21" s="132"/>
      <c r="CI21" s="132"/>
      <c r="CJ21" s="133" t="s">
        <v>861</v>
      </c>
      <c r="CK21" s="133">
        <f>IF(AND(Input!O15="3-PHASE",H8=3),0,IF(AND(Input!O15="1-PHASE",H8=1),0,99))</f>
        <v>99</v>
      </c>
      <c r="CL21" s="133"/>
      <c r="CM21" s="133"/>
      <c r="CN21" s="133"/>
      <c r="CO21" s="133"/>
      <c r="CP21" s="133"/>
      <c r="CQ21" s="1"/>
      <c r="CX21" s="62">
        <f>DA20+0.00001</f>
        <v>75.000010000000003</v>
      </c>
      <c r="CY21" s="132" t="e">
        <f t="shared" si="22"/>
        <v>#VALUE!</v>
      </c>
      <c r="CZ21" s="135" t="str">
        <f t="shared" si="16"/>
        <v>ERR</v>
      </c>
      <c r="DA21" s="62">
        <f t="shared" si="8"/>
        <v>90</v>
      </c>
      <c r="DB21" s="62">
        <f t="shared" si="9"/>
        <v>90</v>
      </c>
      <c r="DC21" s="62" t="s">
        <v>83</v>
      </c>
      <c r="DD21" s="62">
        <v>8</v>
      </c>
      <c r="DE21" s="62">
        <v>1</v>
      </c>
      <c r="DF21" s="62">
        <f t="shared" si="7"/>
        <v>75</v>
      </c>
      <c r="DG21" s="62">
        <f t="shared" si="7"/>
        <v>90</v>
      </c>
      <c r="DH21" s="62">
        <f t="shared" si="7"/>
        <v>100</v>
      </c>
      <c r="DI21" s="27"/>
      <c r="DJ21" s="135" t="str">
        <f t="shared" si="17"/>
        <v>ERR</v>
      </c>
      <c r="DK21" s="135" t="str">
        <f t="shared" si="10"/>
        <v>ERR</v>
      </c>
      <c r="DL21" s="135" t="str">
        <f t="shared" si="11"/>
        <v>ERR</v>
      </c>
      <c r="DN21" s="62" t="s">
        <v>84</v>
      </c>
      <c r="DO21" s="62">
        <v>85</v>
      </c>
      <c r="DP21" s="62">
        <v>100</v>
      </c>
      <c r="DQ21" s="62">
        <v>110</v>
      </c>
      <c r="DR21" s="62">
        <v>65</v>
      </c>
      <c r="DS21" s="62">
        <v>75</v>
      </c>
      <c r="DT21" s="62">
        <v>85</v>
      </c>
      <c r="DV21" s="62">
        <f>DW20+0.00001</f>
        <v>150.00001</v>
      </c>
      <c r="DW21" s="62">
        <v>175</v>
      </c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J21" s="59">
        <f>EK20+0.0000000001</f>
        <v>3.5384000001000002</v>
      </c>
      <c r="EK21" s="63">
        <f t="shared" si="4"/>
        <v>4.6180000000000003</v>
      </c>
      <c r="EL21" s="62">
        <v>3.5</v>
      </c>
      <c r="EM21" s="64">
        <f t="shared" si="0"/>
        <v>11.545</v>
      </c>
      <c r="EN21" s="62">
        <v>3.5</v>
      </c>
      <c r="EO21" s="22"/>
      <c r="EP21" s="62">
        <v>3</v>
      </c>
      <c r="EQ21" s="64">
        <v>7.069</v>
      </c>
      <c r="ER21" s="64">
        <v>7.4989999999999997</v>
      </c>
      <c r="ES21" s="64">
        <v>8.8460000000000001</v>
      </c>
      <c r="ET21" s="64">
        <v>7.9219999999999997</v>
      </c>
      <c r="EU21" s="64">
        <v>7.2679999999999998</v>
      </c>
      <c r="EV21" s="64">
        <v>7.3929999999999998</v>
      </c>
      <c r="EW21" s="64">
        <v>7.069</v>
      </c>
      <c r="EX21" s="64">
        <v>7.4749999999999996</v>
      </c>
      <c r="FG21" s="353">
        <f t="shared" si="18"/>
        <v>125.00000000999999</v>
      </c>
      <c r="FH21" s="353">
        <f t="shared" si="19"/>
        <v>30.000000010000001</v>
      </c>
      <c r="FI21" s="353">
        <v>37.5</v>
      </c>
      <c r="FJ21" s="353">
        <f t="shared" si="12"/>
        <v>156</v>
      </c>
      <c r="FK21" s="353">
        <f t="shared" si="20"/>
        <v>108.00000000999999</v>
      </c>
      <c r="FL21" s="354">
        <v>45.000000100000001</v>
      </c>
      <c r="FM21" s="353">
        <v>50</v>
      </c>
      <c r="FN21" s="353">
        <f t="shared" si="13"/>
        <v>120</v>
      </c>
      <c r="FP21" s="334" t="str">
        <f t="shared" ref="FP21:FP30" si="23">IF(D$4="TRANSFORMER (1-PHASE)",FI17,IF(D$4="TRANSFORMER (3-PHASE)",FM17," "))</f>
        <v xml:space="preserve"> </v>
      </c>
      <c r="FQ21" s="334" t="str">
        <f>H$4</f>
        <v>AUTO</v>
      </c>
      <c r="FR21" s="334">
        <f t="shared" ref="FR21:FR30" si="24">IF(FP21=FQ21,0,1)</f>
        <v>1</v>
      </c>
      <c r="FZ21" s="22"/>
      <c r="GA21" s="22"/>
      <c r="GB21" s="22"/>
      <c r="GC21" s="22"/>
      <c r="GD21" s="22"/>
      <c r="GE21" s="22"/>
      <c r="GF21" s="22"/>
      <c r="GG21" s="22"/>
      <c r="GH21" s="22"/>
      <c r="GI21" s="56" t="str">
        <f>IF(GI18&gt;2,GI20,GI19)</f>
        <v>3/4''</v>
      </c>
      <c r="GK21" s="59">
        <f>GL20+0.0000000001</f>
        <v>2.7422600000999999</v>
      </c>
      <c r="GL21" s="63">
        <f t="shared" si="6"/>
        <v>3.5789499999999999</v>
      </c>
      <c r="GM21" s="62">
        <v>3.5</v>
      </c>
      <c r="GN21" s="64">
        <f>IF($EK$6=1,GR22,IF($EK$6=2,GS22,IF($EK$6=3,GT22,IF($EK$6=4,GU22,IF($EK$6=5,GV22,IF($EK$6=6,GW22,IF($EK$6=7,GX22,IF($EK$6=8,GY22))))))))</f>
        <v>11.545</v>
      </c>
      <c r="GO21" s="62">
        <v>3.5</v>
      </c>
      <c r="GP21" s="22"/>
      <c r="GQ21" s="62">
        <v>3</v>
      </c>
      <c r="GR21" s="64">
        <v>7.069</v>
      </c>
      <c r="GS21" s="64">
        <v>7.4989999999999997</v>
      </c>
      <c r="GT21" s="64">
        <v>8.8460000000000001</v>
      </c>
      <c r="GU21" s="64">
        <v>7.9219999999999997</v>
      </c>
      <c r="GV21" s="64">
        <v>7.2679999999999998</v>
      </c>
      <c r="GW21" s="64">
        <v>7.3929999999999998</v>
      </c>
      <c r="GX21" s="64">
        <v>7.069</v>
      </c>
      <c r="GY21" s="64">
        <v>7.4749999999999996</v>
      </c>
    </row>
    <row r="22" spans="1:207" ht="12" customHeight="1">
      <c r="A22" s="92"/>
      <c r="B22" s="99" t="s">
        <v>24</v>
      </c>
      <c r="C22" s="95"/>
      <c r="D22" s="100" t="str">
        <f>IF(CC22&gt;0,CD22,IF(AND($H$8="3D",H10="AUTO"),"( L1 &amp; L3 )"," "))</f>
        <v xml:space="preserve"> </v>
      </c>
      <c r="E22" s="251"/>
      <c r="F22" s="95" t="str">
        <f t="shared" si="14"/>
        <v xml:space="preserve"> </v>
      </c>
      <c r="G22" s="95" t="str">
        <f t="shared" si="15"/>
        <v xml:space="preserve"> </v>
      </c>
      <c r="H22" s="120">
        <v>0</v>
      </c>
      <c r="I22" s="94"/>
      <c r="J22" s="323"/>
      <c r="K22" s="601"/>
      <c r="L22" s="94"/>
      <c r="M22" s="94"/>
      <c r="N22" s="94"/>
      <c r="O22" s="658"/>
      <c r="P22" s="96"/>
      <c r="Q22" s="98"/>
      <c r="R22" s="295"/>
      <c r="BY22" s="130"/>
      <c r="BZ22" s="130"/>
      <c r="CA22" s="131">
        <v>16</v>
      </c>
      <c r="CB22" s="129">
        <f>IF(SUM(CB$7:CB21)=0,CC22,0)</f>
        <v>0</v>
      </c>
      <c r="CC22" s="132">
        <f>IF(S4="NONE",0,IF(ISBLANK(H22)=TRUE,16,IF(ISNUMBER(H22)=TRUE,IF(H22&lt;0,16,0),16)))</f>
        <v>0</v>
      </c>
      <c r="CD22" s="133" t="str">
        <f>IF($H$8="3D","ENTER % FACTOR L1 &amp; L3","ENTER % FACTOR")</f>
        <v>ENTER % FACTOR</v>
      </c>
      <c r="CE22" s="133" t="s">
        <v>12</v>
      </c>
      <c r="CF22" s="133"/>
      <c r="CG22" s="133"/>
      <c r="CH22" s="132"/>
      <c r="CI22" s="132"/>
      <c r="CJ22" s="133"/>
      <c r="CK22" s="133"/>
      <c r="CL22" s="133"/>
      <c r="CM22" s="133"/>
      <c r="CN22" s="133"/>
      <c r="CO22" s="133"/>
      <c r="CP22" s="133"/>
      <c r="CQ22" s="1"/>
      <c r="CX22" s="62">
        <f t="shared" si="21"/>
        <v>90.000010000000003</v>
      </c>
      <c r="CY22" s="132" t="e">
        <f t="shared" si="22"/>
        <v>#VALUE!</v>
      </c>
      <c r="CZ22" s="135" t="str">
        <f t="shared" si="16"/>
        <v>ERR</v>
      </c>
      <c r="DA22" s="62">
        <f t="shared" si="8"/>
        <v>100</v>
      </c>
      <c r="DB22" s="62">
        <f t="shared" si="9"/>
        <v>100</v>
      </c>
      <c r="DC22" s="62" t="s">
        <v>87</v>
      </c>
      <c r="DD22" s="62">
        <v>9</v>
      </c>
      <c r="DE22" s="62">
        <v>1</v>
      </c>
      <c r="DF22" s="62">
        <f t="shared" si="7"/>
        <v>85</v>
      </c>
      <c r="DG22" s="62">
        <f t="shared" si="7"/>
        <v>100</v>
      </c>
      <c r="DH22" s="62">
        <f t="shared" si="7"/>
        <v>115</v>
      </c>
      <c r="DI22" s="27"/>
      <c r="DJ22" s="135" t="str">
        <f t="shared" si="17"/>
        <v>ERR</v>
      </c>
      <c r="DK22" s="135" t="str">
        <f t="shared" si="10"/>
        <v>ERR</v>
      </c>
      <c r="DL22" s="135" t="str">
        <f t="shared" si="11"/>
        <v>ERR</v>
      </c>
      <c r="DN22" s="62" t="s">
        <v>83</v>
      </c>
      <c r="DO22" s="62">
        <v>95</v>
      </c>
      <c r="DP22" s="62">
        <v>115</v>
      </c>
      <c r="DQ22" s="62">
        <v>130</v>
      </c>
      <c r="DR22" s="62">
        <v>75</v>
      </c>
      <c r="DS22" s="62">
        <v>90</v>
      </c>
      <c r="DT22" s="62">
        <v>100</v>
      </c>
      <c r="DV22" s="62">
        <f t="shared" si="2"/>
        <v>175.00001</v>
      </c>
      <c r="DW22" s="62">
        <v>200</v>
      </c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J22" s="59">
        <f t="shared" si="3"/>
        <v>4.6180000001000003</v>
      </c>
      <c r="EK22" s="67">
        <f t="shared" si="4"/>
        <v>5.9012000000000002</v>
      </c>
      <c r="EL22" s="57">
        <v>4</v>
      </c>
      <c r="EM22" s="68">
        <f t="shared" si="0"/>
        <v>14.753</v>
      </c>
      <c r="EN22" s="57">
        <v>4</v>
      </c>
      <c r="EO22" s="22"/>
      <c r="EP22" s="62">
        <v>3.5</v>
      </c>
      <c r="EQ22" s="64">
        <v>9.6210000000000004</v>
      </c>
      <c r="ER22" s="64">
        <v>10.01</v>
      </c>
      <c r="ES22" s="64">
        <v>11.545</v>
      </c>
      <c r="ET22" s="64">
        <v>10.584</v>
      </c>
      <c r="EU22" s="64">
        <v>9.7370000000000001</v>
      </c>
      <c r="EV22" s="64">
        <v>9.8659999999999997</v>
      </c>
      <c r="EW22" s="64">
        <v>9.6210000000000004</v>
      </c>
      <c r="EX22" s="64">
        <v>9.7309999999999999</v>
      </c>
      <c r="FG22" s="353">
        <f t="shared" si="18"/>
        <v>156.00000001000001</v>
      </c>
      <c r="FH22" s="353">
        <f t="shared" si="19"/>
        <v>37.500000010000001</v>
      </c>
      <c r="FI22" s="353">
        <v>50</v>
      </c>
      <c r="FJ22" s="353">
        <f t="shared" si="12"/>
        <v>208</v>
      </c>
      <c r="FK22" s="353">
        <f t="shared" si="20"/>
        <v>120.00000000999999</v>
      </c>
      <c r="FL22" s="354">
        <v>50.000000100000001</v>
      </c>
      <c r="FM22" s="353">
        <v>60</v>
      </c>
      <c r="FN22" s="353">
        <f t="shared" si="13"/>
        <v>144</v>
      </c>
      <c r="FP22" s="334" t="str">
        <f t="shared" si="23"/>
        <v xml:space="preserve"> </v>
      </c>
      <c r="FQ22" s="334" t="str">
        <f t="shared" ref="FQ22:FQ30" si="25">H$4</f>
        <v>AUTO</v>
      </c>
      <c r="FR22" s="334">
        <f t="shared" si="24"/>
        <v>1</v>
      </c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K22" s="59">
        <f>GL21+0.0000000001</f>
        <v>3.5789500000999999</v>
      </c>
      <c r="GL22" s="67">
        <f t="shared" si="6"/>
        <v>4.5734300000000001</v>
      </c>
      <c r="GM22" s="57">
        <v>4</v>
      </c>
      <c r="GN22" s="68">
        <f>IF($EK$6=1,GR23,IF($EK$6=2,GS23,IF($EK$6=3,GT23,IF($EK$6=4,GU23,IF($EK$6=5,GV23,IF($EK$6=6,GW23,IF($EK$6=7,GX23,IF($EK$6=8,GY23))))))))</f>
        <v>14.753</v>
      </c>
      <c r="GO22" s="57">
        <v>4</v>
      </c>
      <c r="GP22" s="22"/>
      <c r="GQ22" s="62">
        <v>3.5</v>
      </c>
      <c r="GR22" s="64">
        <v>9.6210000000000004</v>
      </c>
      <c r="GS22" s="64">
        <v>10.01</v>
      </c>
      <c r="GT22" s="64">
        <v>11.545</v>
      </c>
      <c r="GU22" s="64">
        <v>10.584</v>
      </c>
      <c r="GV22" s="64">
        <v>9.7370000000000001</v>
      </c>
      <c r="GW22" s="64">
        <v>9.8659999999999997</v>
      </c>
      <c r="GX22" s="64">
        <v>9.6210000000000004</v>
      </c>
      <c r="GY22" s="64">
        <v>9.7309999999999999</v>
      </c>
    </row>
    <row r="23" spans="1:207" ht="12" customHeight="1">
      <c r="A23" s="92"/>
      <c r="B23" s="99"/>
      <c r="C23" s="95"/>
      <c r="D23" s="100"/>
      <c r="E23" s="251"/>
      <c r="F23" s="95"/>
      <c r="G23" s="95"/>
      <c r="H23" s="618"/>
      <c r="I23" s="94"/>
      <c r="J23" s="324"/>
      <c r="K23" s="601"/>
      <c r="L23" s="94"/>
      <c r="M23" s="94"/>
      <c r="N23" s="94"/>
      <c r="O23" s="658"/>
      <c r="P23" s="96"/>
      <c r="Q23" s="98"/>
      <c r="R23" s="295"/>
      <c r="BY23" s="130"/>
      <c r="BZ23" s="130"/>
      <c r="CA23" s="131">
        <v>17</v>
      </c>
      <c r="CB23" s="129">
        <f>IF(SUM(CB$7:CB22)=0,CC23,0)</f>
        <v>0</v>
      </c>
      <c r="CC23" s="132">
        <f>IF(S4="NONE",0,IF(AND(D4&lt;&gt;X11,ISBLANK(H23)=TRUE),17,IF(AND(D4&lt;&gt;X11,ISBLANK(J23)=TRUE),17,IF($H$10="FULL",0,IF($H$8&lt;&gt;"3D",0,IF(ISBLANK(H23)=TRUE,17,IF(ISNUMBER(H23)=TRUE,IF(H23&lt;0,17,0),17)))))))</f>
        <v>0</v>
      </c>
      <c r="CD23" s="133" t="str">
        <f>IF(AND($H$8="3D",H10="AUTO"),"ENTER % FACTOR L2","ENTER VD % FACTOR")</f>
        <v>ENTER VD % FACTOR</v>
      </c>
      <c r="CE23" s="133"/>
      <c r="CF23" s="133"/>
      <c r="CG23" s="133"/>
      <c r="CH23" s="132"/>
      <c r="CI23" s="132"/>
      <c r="CJ23" s="133"/>
      <c r="CK23" s="133"/>
      <c r="CL23" s="133"/>
      <c r="CM23" s="133"/>
      <c r="CN23" s="133"/>
      <c r="CO23" s="133"/>
      <c r="CP23" s="133"/>
      <c r="CQ23" s="1"/>
      <c r="CX23" s="62">
        <f t="shared" si="21"/>
        <v>100.00001</v>
      </c>
      <c r="CY23" s="132" t="e">
        <f t="shared" si="22"/>
        <v>#VALUE!</v>
      </c>
      <c r="CZ23" s="135" t="str">
        <f t="shared" si="16"/>
        <v>ERR</v>
      </c>
      <c r="DA23" s="62">
        <f t="shared" si="8"/>
        <v>120</v>
      </c>
      <c r="DB23" s="62">
        <f t="shared" si="9"/>
        <v>120</v>
      </c>
      <c r="DC23" s="62" t="s">
        <v>93</v>
      </c>
      <c r="DD23" s="62">
        <v>10</v>
      </c>
      <c r="DE23" s="62">
        <v>1</v>
      </c>
      <c r="DF23" s="62">
        <f t="shared" si="7"/>
        <v>100</v>
      </c>
      <c r="DG23" s="62">
        <f t="shared" si="7"/>
        <v>120</v>
      </c>
      <c r="DH23" s="62">
        <f t="shared" si="7"/>
        <v>135</v>
      </c>
      <c r="DI23" s="27"/>
      <c r="DJ23" s="135" t="str">
        <f t="shared" si="17"/>
        <v>ERR</v>
      </c>
      <c r="DK23" s="135" t="str">
        <f t="shared" si="10"/>
        <v>ERR</v>
      </c>
      <c r="DL23" s="135" t="str">
        <f t="shared" si="11"/>
        <v>ERR</v>
      </c>
      <c r="DN23" s="62" t="s">
        <v>87</v>
      </c>
      <c r="DO23" s="62">
        <v>110</v>
      </c>
      <c r="DP23" s="62">
        <v>130</v>
      </c>
      <c r="DQ23" s="62">
        <v>150</v>
      </c>
      <c r="DR23" s="62">
        <v>85</v>
      </c>
      <c r="DS23" s="62">
        <v>100</v>
      </c>
      <c r="DT23" s="62">
        <v>115</v>
      </c>
      <c r="DV23" s="62">
        <f t="shared" si="2"/>
        <v>200.00001</v>
      </c>
      <c r="DW23" s="62">
        <v>225</v>
      </c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J23" s="22"/>
      <c r="EK23" s="22"/>
      <c r="EL23" s="22"/>
      <c r="EM23" s="22"/>
      <c r="EN23" s="22"/>
      <c r="EO23" s="22"/>
      <c r="EP23" s="57">
        <v>4</v>
      </c>
      <c r="EQ23" s="68">
        <v>12.554</v>
      </c>
      <c r="ER23" s="68">
        <v>12.833</v>
      </c>
      <c r="ES23" s="68">
        <v>14.753</v>
      </c>
      <c r="ET23" s="68">
        <v>13.631</v>
      </c>
      <c r="EU23" s="68">
        <v>12.554</v>
      </c>
      <c r="EV23" s="68">
        <v>12.73</v>
      </c>
      <c r="EW23" s="68">
        <v>12.566000000000001</v>
      </c>
      <c r="EX23" s="68">
        <v>12.692</v>
      </c>
      <c r="FG23" s="353">
        <f t="shared" si="18"/>
        <v>208.00000001000001</v>
      </c>
      <c r="FH23" s="353">
        <f t="shared" si="19"/>
        <v>50.000000010000001</v>
      </c>
      <c r="FI23" s="353">
        <v>75</v>
      </c>
      <c r="FJ23" s="353">
        <f t="shared" si="12"/>
        <v>313</v>
      </c>
      <c r="FK23" s="353">
        <f t="shared" si="20"/>
        <v>144.00000001000001</v>
      </c>
      <c r="FL23" s="354">
        <v>60.000000100000001</v>
      </c>
      <c r="FM23" s="353">
        <v>75</v>
      </c>
      <c r="FN23" s="353">
        <f t="shared" si="13"/>
        <v>180</v>
      </c>
      <c r="FP23" s="334" t="str">
        <f t="shared" si="23"/>
        <v xml:space="preserve"> </v>
      </c>
      <c r="FQ23" s="334" t="str">
        <f t="shared" si="25"/>
        <v>AUTO</v>
      </c>
      <c r="FR23" s="334">
        <f t="shared" si="24"/>
        <v>1</v>
      </c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K23" s="22"/>
      <c r="GL23" s="22"/>
      <c r="GM23" s="22"/>
      <c r="GN23" s="22"/>
      <c r="GO23" s="22"/>
      <c r="GP23" s="22"/>
      <c r="GQ23" s="57">
        <v>4</v>
      </c>
      <c r="GR23" s="68">
        <v>12.554</v>
      </c>
      <c r="GS23" s="68">
        <v>12.833</v>
      </c>
      <c r="GT23" s="68">
        <v>14.753</v>
      </c>
      <c r="GU23" s="68">
        <v>13.631</v>
      </c>
      <c r="GV23" s="68">
        <v>12.554</v>
      </c>
      <c r="GW23" s="68">
        <v>12.73</v>
      </c>
      <c r="GX23" s="68">
        <v>12.566000000000001</v>
      </c>
      <c r="GY23" s="68">
        <v>12.692</v>
      </c>
    </row>
    <row r="24" spans="1:207" ht="12" customHeight="1">
      <c r="A24" s="92"/>
      <c r="B24" s="99" t="s">
        <v>966</v>
      </c>
      <c r="C24" s="95"/>
      <c r="D24" s="101" t="str">
        <f>IF(CC24&gt;0,CD24," ")</f>
        <v xml:space="preserve"> </v>
      </c>
      <c r="E24" s="251"/>
      <c r="F24" s="95" t="str">
        <f t="shared" si="14"/>
        <v xml:space="preserve"> </v>
      </c>
      <c r="G24" s="95" t="str">
        <f t="shared" si="15"/>
        <v xml:space="preserve"> </v>
      </c>
      <c r="H24" s="121" t="s">
        <v>28</v>
      </c>
      <c r="I24" s="94"/>
      <c r="J24" s="323"/>
      <c r="K24" s="601"/>
      <c r="L24" s="94"/>
      <c r="M24" s="94"/>
      <c r="N24" s="94"/>
      <c r="O24" s="95"/>
      <c r="P24" s="96"/>
      <c r="Q24" s="98"/>
      <c r="BG24" s="144" t="s">
        <v>396</v>
      </c>
      <c r="BH24" s="144" t="s">
        <v>396</v>
      </c>
      <c r="BI24" s="144" t="s">
        <v>396</v>
      </c>
      <c r="BJ24" s="144" t="s">
        <v>396</v>
      </c>
      <c r="BK24" s="144" t="s">
        <v>401</v>
      </c>
      <c r="BL24" s="144" t="s">
        <v>401</v>
      </c>
      <c r="BM24" s="144" t="s">
        <v>401</v>
      </c>
      <c r="BN24" s="144" t="s">
        <v>401</v>
      </c>
      <c r="BO24" s="144" t="s">
        <v>472</v>
      </c>
      <c r="BP24" s="144" t="s">
        <v>472</v>
      </c>
      <c r="BQ24" s="144" t="s">
        <v>472</v>
      </c>
      <c r="BR24" s="144" t="s">
        <v>472</v>
      </c>
      <c r="BS24" s="144" t="s">
        <v>472</v>
      </c>
      <c r="BT24" s="144" t="s">
        <v>472</v>
      </c>
      <c r="BU24" s="144"/>
      <c r="BV24" s="144"/>
      <c r="BY24" s="130"/>
      <c r="BZ24" s="130"/>
      <c r="CA24" s="131">
        <v>18</v>
      </c>
      <c r="CB24" s="129">
        <f>IF(SUM(CB$7:CB22)=0,CC24,0)</f>
        <v>0</v>
      </c>
      <c r="CC24" s="132">
        <f>IF(S4="NONE",0,IF(ISBLANK(H24)=TRUE,18,IF(H24="Y",0,IF(H24="N",0,18))))</f>
        <v>0</v>
      </c>
      <c r="CD24" s="133" t="s">
        <v>967</v>
      </c>
      <c r="CE24" s="133" t="s">
        <v>12</v>
      </c>
      <c r="CF24" s="129"/>
      <c r="CG24" s="133"/>
      <c r="CH24" s="132"/>
      <c r="CI24" s="132"/>
      <c r="CJ24" s="133" t="s">
        <v>862</v>
      </c>
      <c r="CK24" s="133">
        <v>0</v>
      </c>
      <c r="CL24" s="133"/>
      <c r="CM24" s="133"/>
      <c r="CN24" s="133"/>
      <c r="CO24" s="133"/>
      <c r="CP24" s="133"/>
      <c r="CQ24" s="1"/>
      <c r="CX24" s="62">
        <f t="shared" si="21"/>
        <v>120.00001</v>
      </c>
      <c r="CY24" s="132" t="e">
        <f t="shared" si="22"/>
        <v>#VALUE!</v>
      </c>
      <c r="CZ24" s="135" t="str">
        <f t="shared" si="16"/>
        <v>ERR</v>
      </c>
      <c r="DA24" s="62">
        <f t="shared" si="8"/>
        <v>135</v>
      </c>
      <c r="DB24" s="62">
        <f t="shared" si="9"/>
        <v>135</v>
      </c>
      <c r="DC24" s="62" t="s">
        <v>97</v>
      </c>
      <c r="DD24" s="62">
        <v>11</v>
      </c>
      <c r="DE24" s="62">
        <v>1</v>
      </c>
      <c r="DF24" s="62">
        <f t="shared" si="7"/>
        <v>115</v>
      </c>
      <c r="DG24" s="62">
        <f t="shared" si="7"/>
        <v>135</v>
      </c>
      <c r="DH24" s="62">
        <f t="shared" si="7"/>
        <v>150</v>
      </c>
      <c r="DI24" s="27"/>
      <c r="DJ24" s="135" t="str">
        <f t="shared" si="17"/>
        <v>ERR</v>
      </c>
      <c r="DK24" s="135" t="str">
        <f t="shared" si="10"/>
        <v>ERR</v>
      </c>
      <c r="DL24" s="135" t="str">
        <f t="shared" si="11"/>
        <v>ERR</v>
      </c>
      <c r="DN24" s="62" t="s">
        <v>93</v>
      </c>
      <c r="DO24" s="62">
        <v>125</v>
      </c>
      <c r="DP24" s="62">
        <v>150</v>
      </c>
      <c r="DQ24" s="62">
        <v>170</v>
      </c>
      <c r="DR24" s="62">
        <v>100</v>
      </c>
      <c r="DS24" s="62">
        <v>120</v>
      </c>
      <c r="DT24" s="62">
        <v>135</v>
      </c>
      <c r="DV24" s="62">
        <f t="shared" si="2"/>
        <v>225.00001</v>
      </c>
      <c r="DW24" s="62">
        <v>250</v>
      </c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J24" s="69" t="s">
        <v>98</v>
      </c>
      <c r="EK24" s="70">
        <f>IF(EF84=0,"NOT USED",VLOOKUP(EK7,EJ10:EN22,3))</f>
        <v>0.75</v>
      </c>
      <c r="EL24" s="24" t="s">
        <v>498</v>
      </c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FG24" s="353">
        <f t="shared" si="18"/>
        <v>313.00000001000001</v>
      </c>
      <c r="FH24" s="353">
        <f t="shared" si="19"/>
        <v>75.000000009999994</v>
      </c>
      <c r="FI24" s="353">
        <v>100</v>
      </c>
      <c r="FJ24" s="353">
        <f t="shared" si="12"/>
        <v>400</v>
      </c>
      <c r="FK24" s="353">
        <f t="shared" si="20"/>
        <v>180.00000001000001</v>
      </c>
      <c r="FL24" s="354">
        <v>75.000000099999994</v>
      </c>
      <c r="FM24" s="353">
        <v>100</v>
      </c>
      <c r="FN24" s="353">
        <f t="shared" si="13"/>
        <v>241</v>
      </c>
      <c r="FP24" s="334" t="str">
        <f t="shared" si="23"/>
        <v xml:space="preserve"> </v>
      </c>
      <c r="FQ24" s="334" t="str">
        <f t="shared" si="25"/>
        <v>AUTO</v>
      </c>
      <c r="FR24" s="334">
        <f t="shared" si="24"/>
        <v>1</v>
      </c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K24" s="69" t="s">
        <v>98</v>
      </c>
      <c r="GL24" s="70">
        <f>IF(GG84=0,"NOT USED",VLOOKUP(GL7,GK10:GO22,3))</f>
        <v>0.75</v>
      </c>
      <c r="GM24" s="24" t="s">
        <v>498</v>
      </c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</row>
    <row r="25" spans="1:207" ht="12" customHeight="1">
      <c r="A25" s="92"/>
      <c r="B25" s="99" t="str">
        <f>IF(ISBLANK(H24)=TRUE," ",IF(H24="N","BREAKER SIZE",IF(CZ54&lt;&gt;CZ55,"FUSE SIZE L1 L3","BREAKER SIZE")))</f>
        <v>BREAKER SIZE</v>
      </c>
      <c r="C25" s="95"/>
      <c r="D25" s="101" t="str">
        <f>IF(ISBLANK(H7)=TRUE," ",IF(ISBLANK(H6)=TRUE," ",IF(CC26&gt;0,CD26," ")))</f>
        <v xml:space="preserve"> </v>
      </c>
      <c r="E25" s="251"/>
      <c r="F25" s="102"/>
      <c r="G25" s="95"/>
      <c r="H25" s="103">
        <f>IF(CF14&gt;0,"ERROR",IF(CB44=0,IF(H24="Y",DW39,"NONE")," "))</f>
        <v>60</v>
      </c>
      <c r="I25" s="94"/>
      <c r="J25" s="428" t="str">
        <f>IF(CF14&gt;0,"ERROR",IF(D4=X11," ",DX40))</f>
        <v xml:space="preserve"> </v>
      </c>
      <c r="K25" s="601"/>
      <c r="L25" s="94"/>
      <c r="M25" s="94"/>
      <c r="N25" s="94"/>
      <c r="O25" s="94"/>
      <c r="P25" s="96"/>
      <c r="Q25" s="98"/>
      <c r="T25" s="126" t="s">
        <v>228</v>
      </c>
      <c r="U25" s="126" t="s">
        <v>21</v>
      </c>
      <c r="W25" s="143" t="s">
        <v>233</v>
      </c>
      <c r="X25" s="143" t="s">
        <v>233</v>
      </c>
      <c r="Y25" s="143" t="s">
        <v>233</v>
      </c>
      <c r="Z25" s="143" t="s">
        <v>39</v>
      </c>
      <c r="AA25" s="143" t="s">
        <v>39</v>
      </c>
      <c r="AB25" s="143" t="s">
        <v>39</v>
      </c>
      <c r="AC25" s="143" t="s">
        <v>39</v>
      </c>
      <c r="AD25" s="143" t="s">
        <v>39</v>
      </c>
      <c r="AE25" s="143" t="s">
        <v>39</v>
      </c>
      <c r="AF25" s="143" t="s">
        <v>61</v>
      </c>
      <c r="AG25" s="143" t="s">
        <v>61</v>
      </c>
      <c r="AH25" s="143" t="s">
        <v>61</v>
      </c>
      <c r="AI25" s="143" t="s">
        <v>61</v>
      </c>
      <c r="AJ25" s="143" t="s">
        <v>61</v>
      </c>
      <c r="AK25" s="143" t="s">
        <v>61</v>
      </c>
      <c r="AL25" s="143" t="s">
        <v>189</v>
      </c>
      <c r="AM25" s="143" t="s">
        <v>189</v>
      </c>
      <c r="AN25" s="143" t="s">
        <v>189</v>
      </c>
      <c r="AO25" s="143" t="s">
        <v>189</v>
      </c>
      <c r="AP25" s="143" t="s">
        <v>189</v>
      </c>
      <c r="AQ25" s="143" t="s">
        <v>189</v>
      </c>
      <c r="AR25" s="143" t="s">
        <v>62</v>
      </c>
      <c r="AS25" s="143" t="s">
        <v>62</v>
      </c>
      <c r="AT25" s="143" t="s">
        <v>63</v>
      </c>
      <c r="AU25" s="143" t="s">
        <v>63</v>
      </c>
      <c r="AV25" s="143" t="s">
        <v>63</v>
      </c>
      <c r="AW25" s="143" t="s">
        <v>63</v>
      </c>
      <c r="AX25" s="143" t="s">
        <v>63</v>
      </c>
      <c r="AY25" s="143" t="s">
        <v>63</v>
      </c>
      <c r="AZ25" s="143"/>
      <c r="BA25" s="144" t="s">
        <v>243</v>
      </c>
      <c r="BB25" s="144" t="s">
        <v>243</v>
      </c>
      <c r="BC25" s="144" t="s">
        <v>243</v>
      </c>
      <c r="BD25" s="144" t="s">
        <v>243</v>
      </c>
      <c r="BE25" s="144" t="s">
        <v>243</v>
      </c>
      <c r="BF25" s="144" t="s">
        <v>243</v>
      </c>
      <c r="BG25" s="144" t="s">
        <v>471</v>
      </c>
      <c r="BH25" s="144" t="s">
        <v>471</v>
      </c>
      <c r="BI25" s="144" t="s">
        <v>471</v>
      </c>
      <c r="BJ25" s="144" t="s">
        <v>471</v>
      </c>
      <c r="BK25" s="144" t="s">
        <v>471</v>
      </c>
      <c r="BL25" s="144" t="s">
        <v>471</v>
      </c>
      <c r="BM25" s="144" t="s">
        <v>471</v>
      </c>
      <c r="BN25" s="144" t="s">
        <v>471</v>
      </c>
      <c r="BO25" s="144" t="s">
        <v>471</v>
      </c>
      <c r="BP25" s="144" t="s">
        <v>471</v>
      </c>
      <c r="BQ25" s="144" t="s">
        <v>471</v>
      </c>
      <c r="BR25" s="144" t="s">
        <v>471</v>
      </c>
      <c r="BS25" s="144" t="s">
        <v>471</v>
      </c>
      <c r="BT25" s="144" t="s">
        <v>471</v>
      </c>
      <c r="BU25" s="144"/>
      <c r="BV25" s="144"/>
      <c r="BW25" s="144"/>
      <c r="BY25" s="130"/>
      <c r="BZ25" s="130"/>
      <c r="CA25" s="131">
        <v>19</v>
      </c>
      <c r="CB25" s="129">
        <f>IF(SUM(CB$7:CB24)=0,CC25,0)</f>
        <v>0</v>
      </c>
      <c r="CC25" s="132">
        <f>IF(S4="NONE",0,IF(CB143&gt;0,19,0))</f>
        <v>0</v>
      </c>
      <c r="CD25" s="133" t="s">
        <v>213</v>
      </c>
      <c r="CE25" s="133"/>
      <c r="CF25" s="128" t="s">
        <v>785</v>
      </c>
      <c r="CG25" s="133"/>
      <c r="CH25" s="132"/>
      <c r="CI25" s="132"/>
      <c r="CJ25" s="133"/>
      <c r="CK25" s="133">
        <v>0</v>
      </c>
      <c r="CL25" s="133"/>
      <c r="CM25" s="133"/>
      <c r="CN25" s="133"/>
      <c r="CO25" s="133"/>
      <c r="CP25" s="133"/>
      <c r="CQ25" s="32"/>
      <c r="CX25" s="62">
        <f t="shared" si="21"/>
        <v>135.00001</v>
      </c>
      <c r="CY25" s="132" t="e">
        <f t="shared" si="22"/>
        <v>#VALUE!</v>
      </c>
      <c r="CZ25" s="135" t="str">
        <f t="shared" si="16"/>
        <v>ERR</v>
      </c>
      <c r="DA25" s="62">
        <f t="shared" si="8"/>
        <v>155</v>
      </c>
      <c r="DB25" s="62">
        <f t="shared" si="9"/>
        <v>155</v>
      </c>
      <c r="DC25" s="62" t="s">
        <v>101</v>
      </c>
      <c r="DD25" s="62">
        <v>12</v>
      </c>
      <c r="DE25" s="62">
        <v>1</v>
      </c>
      <c r="DF25" s="62">
        <f t="shared" si="7"/>
        <v>130</v>
      </c>
      <c r="DG25" s="62">
        <f t="shared" si="7"/>
        <v>155</v>
      </c>
      <c r="DH25" s="62">
        <f t="shared" si="7"/>
        <v>175</v>
      </c>
      <c r="DI25" s="27"/>
      <c r="DJ25" s="135" t="str">
        <f t="shared" si="17"/>
        <v>ERR</v>
      </c>
      <c r="DK25" s="135" t="str">
        <f t="shared" si="10"/>
        <v>ERR</v>
      </c>
      <c r="DL25" s="135" t="str">
        <f t="shared" si="11"/>
        <v>ERR</v>
      </c>
      <c r="DN25" s="62" t="s">
        <v>97</v>
      </c>
      <c r="DO25" s="62">
        <v>145</v>
      </c>
      <c r="DP25" s="62">
        <v>175</v>
      </c>
      <c r="DQ25" s="62">
        <v>195</v>
      </c>
      <c r="DR25" s="62">
        <v>115</v>
      </c>
      <c r="DS25" s="62">
        <v>135</v>
      </c>
      <c r="DT25" s="62">
        <v>150</v>
      </c>
      <c r="DV25" s="62">
        <f t="shared" si="2"/>
        <v>250.00001</v>
      </c>
      <c r="DW25" s="62">
        <v>300</v>
      </c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J25" s="71" t="s">
        <v>15</v>
      </c>
      <c r="EK25" s="72" t="str">
        <f>EM10</f>
        <v>EMT</v>
      </c>
      <c r="EL25" s="24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FG25" s="353">
        <f t="shared" si="18"/>
        <v>400.00000001000001</v>
      </c>
      <c r="FH25" s="353">
        <f>FH24</f>
        <v>75.000000009999994</v>
      </c>
      <c r="FI25" s="353">
        <v>100</v>
      </c>
      <c r="FJ25" s="353">
        <f t="shared" si="12"/>
        <v>400</v>
      </c>
      <c r="FK25" s="353">
        <f t="shared" si="20"/>
        <v>241.00000001000001</v>
      </c>
      <c r="FL25" s="354">
        <f>FM24+0.0000001</f>
        <v>100.00000009999999</v>
      </c>
      <c r="FM25" s="353">
        <v>112.5</v>
      </c>
      <c r="FN25" s="353">
        <f t="shared" si="13"/>
        <v>271</v>
      </c>
      <c r="FP25" s="334" t="str">
        <f t="shared" si="23"/>
        <v xml:space="preserve"> </v>
      </c>
      <c r="FQ25" s="334" t="str">
        <f t="shared" si="25"/>
        <v>AUTO</v>
      </c>
      <c r="FR25" s="334">
        <f t="shared" si="24"/>
        <v>1</v>
      </c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K25" s="71" t="s">
        <v>15</v>
      </c>
      <c r="GL25" s="72" t="str">
        <f>GN10</f>
        <v>EMT</v>
      </c>
      <c r="GM25" s="24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</row>
    <row r="26" spans="1:207" ht="12" customHeight="1">
      <c r="A26" s="92"/>
      <c r="B26" s="99" t="str">
        <f>IF(ISBLANK(H24)=TRUE," ",IF(H24="N"," ",IF(CZ54&lt;&gt;CZ55,"FUSE SIZE L2"," ")))</f>
        <v xml:space="preserve"> </v>
      </c>
      <c r="C26" s="95"/>
      <c r="D26" s="271"/>
      <c r="E26" s="272"/>
      <c r="F26" s="273"/>
      <c r="G26" s="95"/>
      <c r="H26" s="103">
        <f>IF(CF14&gt;0,"ERROR",DW40)</f>
        <v>0</v>
      </c>
      <c r="I26" s="94"/>
      <c r="J26" s="322"/>
      <c r="K26" s="602"/>
      <c r="L26" s="94"/>
      <c r="M26" s="94"/>
      <c r="N26" s="94"/>
      <c r="O26" s="94"/>
      <c r="P26" s="96"/>
      <c r="Q26" s="98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Y26" s="130"/>
      <c r="BZ26" s="130"/>
      <c r="CA26" s="131">
        <v>20</v>
      </c>
      <c r="CB26" s="129">
        <f>IF(SUM(CB$7:CB25)=0,CC26,0)</f>
        <v>0</v>
      </c>
      <c r="CC26" s="132">
        <f>IF(CG$2&gt;0,0,IF(S4="NONE",0,IF(ISBLANK(H6)=TRUE,0,IF('S-Calcs'!V42&gt;400,20,0))))</f>
        <v>0</v>
      </c>
      <c r="CD26" s="133" t="s">
        <v>759</v>
      </c>
      <c r="CE26" s="133" t="s">
        <v>12</v>
      </c>
      <c r="CF26" s="128" t="s">
        <v>786</v>
      </c>
      <c r="CG26" s="133"/>
      <c r="CH26" s="132"/>
      <c r="CI26" s="132"/>
      <c r="CJ26" s="133"/>
      <c r="CK26" s="133">
        <f>SUM(CK24:CK25)</f>
        <v>0</v>
      </c>
      <c r="CL26" s="133"/>
      <c r="CM26" s="133"/>
      <c r="CN26" s="133"/>
      <c r="CO26" s="133"/>
      <c r="CP26" s="133"/>
      <c r="CQ26" s="32"/>
      <c r="CX26" s="62">
        <f t="shared" si="21"/>
        <v>155.00001</v>
      </c>
      <c r="CY26" s="132" t="e">
        <f t="shared" si="22"/>
        <v>#VALUE!</v>
      </c>
      <c r="CZ26" s="135" t="str">
        <f t="shared" si="16"/>
        <v>ERR</v>
      </c>
      <c r="DA26" s="62">
        <f t="shared" si="8"/>
        <v>180</v>
      </c>
      <c r="DB26" s="62">
        <f t="shared" si="9"/>
        <v>180</v>
      </c>
      <c r="DC26" s="62" t="s">
        <v>103</v>
      </c>
      <c r="DD26" s="62">
        <v>13</v>
      </c>
      <c r="DE26" s="62">
        <v>1</v>
      </c>
      <c r="DF26" s="62">
        <f t="shared" si="7"/>
        <v>150</v>
      </c>
      <c r="DG26" s="62">
        <f t="shared" si="7"/>
        <v>180</v>
      </c>
      <c r="DH26" s="62">
        <f t="shared" si="7"/>
        <v>205</v>
      </c>
      <c r="DI26" s="27"/>
      <c r="DJ26" s="135" t="str">
        <f t="shared" si="17"/>
        <v>ERR</v>
      </c>
      <c r="DK26" s="135" t="str">
        <f t="shared" si="10"/>
        <v>ERR</v>
      </c>
      <c r="DL26" s="135" t="str">
        <f t="shared" si="11"/>
        <v>ERR</v>
      </c>
      <c r="DN26" s="62" t="s">
        <v>101</v>
      </c>
      <c r="DO26" s="62">
        <v>165</v>
      </c>
      <c r="DP26" s="62">
        <v>200</v>
      </c>
      <c r="DQ26" s="62">
        <v>225</v>
      </c>
      <c r="DR26" s="62">
        <v>130</v>
      </c>
      <c r="DS26" s="62">
        <v>155</v>
      </c>
      <c r="DT26" s="62">
        <v>175</v>
      </c>
      <c r="DV26" s="62">
        <f t="shared" si="2"/>
        <v>300.00000999999997</v>
      </c>
      <c r="DW26" s="62">
        <v>350</v>
      </c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J26" s="69" t="s">
        <v>98</v>
      </c>
      <c r="EK26" s="70" t="str">
        <f>IF(EF84&gt;0,"NOT USED",EK45)</f>
        <v>NOT USED</v>
      </c>
      <c r="EL26" s="24" t="s">
        <v>499</v>
      </c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FG26" s="355">
        <f t="shared" si="18"/>
        <v>400.00000001000001</v>
      </c>
      <c r="FH26" s="355">
        <f>FH25</f>
        <v>75.000000009999994</v>
      </c>
      <c r="FI26" s="355">
        <v>100</v>
      </c>
      <c r="FJ26" s="355">
        <f t="shared" si="12"/>
        <v>400</v>
      </c>
      <c r="FK26" s="355">
        <f t="shared" si="20"/>
        <v>271.00000001000001</v>
      </c>
      <c r="FL26" s="356">
        <f>FM25+0.0000001</f>
        <v>112.50000009999999</v>
      </c>
      <c r="FM26" s="355">
        <v>150</v>
      </c>
      <c r="FN26" s="355">
        <f t="shared" si="13"/>
        <v>361</v>
      </c>
      <c r="FP26" s="334" t="str">
        <f t="shared" si="23"/>
        <v xml:space="preserve"> </v>
      </c>
      <c r="FQ26" s="334" t="str">
        <f t="shared" si="25"/>
        <v>AUTO</v>
      </c>
      <c r="FR26" s="334">
        <f t="shared" si="24"/>
        <v>1</v>
      </c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K26" s="69" t="s">
        <v>98</v>
      </c>
      <c r="GL26" s="70" t="str">
        <f>IF(GG84&gt;0,"NOT USED",GL45)</f>
        <v>NOT USED</v>
      </c>
      <c r="GM26" s="24" t="s">
        <v>499</v>
      </c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</row>
    <row r="27" spans="1:207" ht="12" customHeight="1">
      <c r="A27" s="92"/>
      <c r="B27" s="146" t="str">
        <f>IF(S4="NONE"," ",CB90)</f>
        <v xml:space="preserve"> </v>
      </c>
      <c r="C27" s="94"/>
      <c r="D27" s="257"/>
      <c r="E27" s="250"/>
      <c r="F27" s="257"/>
      <c r="G27" s="94"/>
      <c r="H27" s="94"/>
      <c r="I27" s="94"/>
      <c r="J27" s="94"/>
      <c r="K27" s="94"/>
      <c r="L27" s="257"/>
      <c r="M27" s="257"/>
      <c r="N27" s="94"/>
      <c r="O27" s="94"/>
      <c r="P27" s="147" t="str">
        <f>IF(S4="NONE"," ",CB134)</f>
        <v xml:space="preserve"> </v>
      </c>
      <c r="Q27" s="98"/>
      <c r="T27" s="126" t="s">
        <v>229</v>
      </c>
      <c r="U27" s="126" t="s">
        <v>393</v>
      </c>
      <c r="W27" s="143" t="s">
        <v>65</v>
      </c>
      <c r="X27" s="143" t="s">
        <v>65</v>
      </c>
      <c r="Y27" s="143" t="s">
        <v>65</v>
      </c>
      <c r="Z27" s="143" t="s">
        <v>65</v>
      </c>
      <c r="AA27" s="143" t="s">
        <v>65</v>
      </c>
      <c r="AB27" s="143" t="s">
        <v>65</v>
      </c>
      <c r="AC27" s="143" t="s">
        <v>65</v>
      </c>
      <c r="AD27" s="143" t="s">
        <v>65</v>
      </c>
      <c r="AE27" s="143" t="s">
        <v>65</v>
      </c>
      <c r="AF27" s="143" t="s">
        <v>65</v>
      </c>
      <c r="AG27" s="143" t="s">
        <v>65</v>
      </c>
      <c r="AH27" s="143" t="s">
        <v>65</v>
      </c>
      <c r="AI27" s="143" t="s">
        <v>65</v>
      </c>
      <c r="AJ27" s="143" t="s">
        <v>65</v>
      </c>
      <c r="AK27" s="143" t="s">
        <v>65</v>
      </c>
      <c r="AL27" s="143" t="s">
        <v>65</v>
      </c>
      <c r="AM27" s="143" t="s">
        <v>65</v>
      </c>
      <c r="AN27" s="143" t="s">
        <v>65</v>
      </c>
      <c r="AO27" s="143" t="s">
        <v>65</v>
      </c>
      <c r="AP27" s="143" t="s">
        <v>65</v>
      </c>
      <c r="AQ27" s="143" t="s">
        <v>65</v>
      </c>
      <c r="AR27" s="143" t="s">
        <v>65</v>
      </c>
      <c r="AS27" s="143" t="s">
        <v>65</v>
      </c>
      <c r="AT27" s="143" t="s">
        <v>65</v>
      </c>
      <c r="AU27" s="143" t="s">
        <v>65</v>
      </c>
      <c r="AV27" s="143" t="s">
        <v>65</v>
      </c>
      <c r="AW27" s="143" t="s">
        <v>65</v>
      </c>
      <c r="AX27" s="143" t="s">
        <v>65</v>
      </c>
      <c r="AY27" s="143" t="s">
        <v>65</v>
      </c>
      <c r="AZ27" s="143"/>
      <c r="BA27" s="144" t="s">
        <v>65</v>
      </c>
      <c r="BB27" s="144" t="s">
        <v>65</v>
      </c>
      <c r="BC27" s="144" t="s">
        <v>65</v>
      </c>
      <c r="BD27" s="144" t="s">
        <v>65</v>
      </c>
      <c r="BE27" s="144" t="s">
        <v>65</v>
      </c>
      <c r="BF27" s="144" t="s">
        <v>65</v>
      </c>
      <c r="BG27" s="144" t="s">
        <v>65</v>
      </c>
      <c r="BH27" s="144" t="s">
        <v>65</v>
      </c>
      <c r="BI27" s="144" t="s">
        <v>65</v>
      </c>
      <c r="BJ27" s="144" t="s">
        <v>65</v>
      </c>
      <c r="BK27" s="144" t="s">
        <v>65</v>
      </c>
      <c r="BL27" s="144" t="s">
        <v>65</v>
      </c>
      <c r="BM27" s="144" t="s">
        <v>65</v>
      </c>
      <c r="BN27" s="144" t="s">
        <v>65</v>
      </c>
      <c r="BO27" s="144" t="s">
        <v>65</v>
      </c>
      <c r="BP27" s="144" t="s">
        <v>65</v>
      </c>
      <c r="BQ27" s="144" t="s">
        <v>65</v>
      </c>
      <c r="BR27" s="144" t="s">
        <v>65</v>
      </c>
      <c r="BS27" s="144" t="s">
        <v>65</v>
      </c>
      <c r="BT27" s="144" t="s">
        <v>65</v>
      </c>
      <c r="BU27" s="144"/>
      <c r="BV27" s="144"/>
      <c r="BW27" s="144"/>
      <c r="BY27" s="130"/>
      <c r="BZ27" s="130"/>
      <c r="CA27" s="131">
        <v>21</v>
      </c>
      <c r="CB27" s="129">
        <f>IF(SUM(CB$7:CB26)=0,CC27,0)</f>
        <v>0</v>
      </c>
      <c r="CC27" s="132">
        <v>0</v>
      </c>
      <c r="CD27" s="133" t="s">
        <v>581</v>
      </c>
      <c r="CE27" s="133"/>
      <c r="CF27" s="128" t="s">
        <v>778</v>
      </c>
      <c r="CG27" s="133"/>
      <c r="CH27" s="132"/>
      <c r="CI27" s="132"/>
      <c r="CJ27" s="133"/>
      <c r="CK27" s="133"/>
      <c r="CL27" s="133"/>
      <c r="CM27" s="133"/>
      <c r="CN27" s="133"/>
      <c r="CO27" s="133"/>
      <c r="CP27" s="133"/>
      <c r="CQ27" s="32"/>
      <c r="CX27" s="62">
        <f t="shared" si="21"/>
        <v>180.00001</v>
      </c>
      <c r="CY27" s="132" t="e">
        <f t="shared" si="22"/>
        <v>#VALUE!</v>
      </c>
      <c r="CZ27" s="135" t="str">
        <f t="shared" si="16"/>
        <v>ERR</v>
      </c>
      <c r="DA27" s="62">
        <f t="shared" si="8"/>
        <v>205</v>
      </c>
      <c r="DB27" s="62">
        <f t="shared" si="9"/>
        <v>205</v>
      </c>
      <c r="DC27" s="62" t="s">
        <v>106</v>
      </c>
      <c r="DD27" s="62">
        <v>14</v>
      </c>
      <c r="DE27" s="62">
        <v>1</v>
      </c>
      <c r="DF27" s="62">
        <f t="shared" si="7"/>
        <v>170</v>
      </c>
      <c r="DG27" s="62">
        <f t="shared" si="7"/>
        <v>205</v>
      </c>
      <c r="DH27" s="62">
        <f t="shared" si="7"/>
        <v>230</v>
      </c>
      <c r="DI27" s="27"/>
      <c r="DJ27" s="135" t="str">
        <f t="shared" si="17"/>
        <v>ERR</v>
      </c>
      <c r="DK27" s="135" t="str">
        <f t="shared" si="10"/>
        <v>ERR</v>
      </c>
      <c r="DL27" s="135" t="str">
        <f t="shared" si="11"/>
        <v>ERR</v>
      </c>
      <c r="DN27" s="62" t="s">
        <v>103</v>
      </c>
      <c r="DO27" s="62">
        <v>195</v>
      </c>
      <c r="DP27" s="62">
        <v>230</v>
      </c>
      <c r="DQ27" s="62">
        <v>260</v>
      </c>
      <c r="DR27" s="62">
        <v>150</v>
      </c>
      <c r="DS27" s="62">
        <v>180</v>
      </c>
      <c r="DT27" s="62">
        <v>205</v>
      </c>
      <c r="DV27" s="62">
        <f t="shared" si="2"/>
        <v>350.00000999999997</v>
      </c>
      <c r="DW27" s="62">
        <v>400</v>
      </c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J27" s="69" t="s">
        <v>98</v>
      </c>
      <c r="EK27" s="70">
        <f>IF(EF84&gt;0,EK24,EK26)</f>
        <v>0.75</v>
      </c>
      <c r="EL27" s="24" t="str">
        <f>IF(EF84&gt;0,"DIFFERENT SIZE WIRES","SAME SIZE WIRES")</f>
        <v>DIFFERENT SIZE WIRES</v>
      </c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FI27" s="337"/>
      <c r="FJ27" s="337"/>
      <c r="FP27" s="334" t="str">
        <f t="shared" si="23"/>
        <v xml:space="preserve"> </v>
      </c>
      <c r="FQ27" s="334" t="str">
        <f t="shared" si="25"/>
        <v>AUTO</v>
      </c>
      <c r="FR27" s="334">
        <f t="shared" si="24"/>
        <v>1</v>
      </c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K27" s="69" t="s">
        <v>98</v>
      </c>
      <c r="GL27" s="70">
        <f>IF(GG84&gt;0,GL24,GL26)</f>
        <v>0.75</v>
      </c>
      <c r="GM27" s="24" t="str">
        <f>IF(GG84&gt;0,"DIFFERENT SIZE WIRES","SAME SIZE WIRES")</f>
        <v>DIFFERENT SIZE WIRES</v>
      </c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</row>
    <row r="28" spans="1:207" ht="12" customHeight="1">
      <c r="A28" s="92"/>
      <c r="B28" s="106" t="s">
        <v>88</v>
      </c>
      <c r="C28" s="105" t="s">
        <v>89</v>
      </c>
      <c r="D28" s="252" t="s">
        <v>52</v>
      </c>
      <c r="E28" s="95" t="str">
        <f>IF($H$11="AUTO","N"," ")</f>
        <v xml:space="preserve"> </v>
      </c>
      <c r="F28" s="107" t="str">
        <f>IF($H$8="3Y","H"," ")</f>
        <v xml:space="preserve"> </v>
      </c>
      <c r="G28" s="231" t="s">
        <v>54</v>
      </c>
      <c r="H28" s="108" t="s">
        <v>90</v>
      </c>
      <c r="I28" s="109"/>
      <c r="J28" s="109" t="s">
        <v>90</v>
      </c>
      <c r="K28" s="105" t="s">
        <v>54</v>
      </c>
      <c r="L28" s="107" t="str">
        <f>IF($H$8="3Y","H"," ")</f>
        <v xml:space="preserve"> </v>
      </c>
      <c r="M28" s="231" t="str">
        <f>IF($H$11="AUTO","N"," ")</f>
        <v xml:space="preserve"> </v>
      </c>
      <c r="N28" s="100" t="s">
        <v>52</v>
      </c>
      <c r="O28" s="107" t="s">
        <v>89</v>
      </c>
      <c r="P28" s="106" t="s">
        <v>88</v>
      </c>
      <c r="Q28" s="110"/>
      <c r="W28" s="143" t="s">
        <v>55</v>
      </c>
      <c r="X28" s="143" t="s">
        <v>56</v>
      </c>
      <c r="Y28" s="143" t="s">
        <v>57</v>
      </c>
      <c r="Z28" s="143" t="s">
        <v>55</v>
      </c>
      <c r="AA28" s="143" t="s">
        <v>55</v>
      </c>
      <c r="AB28" s="143" t="s">
        <v>56</v>
      </c>
      <c r="AC28" s="143" t="s">
        <v>56</v>
      </c>
      <c r="AD28" s="143" t="s">
        <v>57</v>
      </c>
      <c r="AE28" s="143" t="s">
        <v>57</v>
      </c>
      <c r="AF28" s="143" t="s">
        <v>55</v>
      </c>
      <c r="AG28" s="143" t="s">
        <v>55</v>
      </c>
      <c r="AH28" s="143" t="s">
        <v>56</v>
      </c>
      <c r="AI28" s="143" t="s">
        <v>56</v>
      </c>
      <c r="AJ28" s="143" t="s">
        <v>57</v>
      </c>
      <c r="AK28" s="143" t="s">
        <v>57</v>
      </c>
      <c r="AL28" s="143" t="s">
        <v>55</v>
      </c>
      <c r="AM28" s="143" t="s">
        <v>55</v>
      </c>
      <c r="AN28" s="143" t="s">
        <v>56</v>
      </c>
      <c r="AO28" s="143" t="s">
        <v>56</v>
      </c>
      <c r="AP28" s="143" t="s">
        <v>57</v>
      </c>
      <c r="AQ28" s="143" t="s">
        <v>57</v>
      </c>
      <c r="AR28" s="143" t="s">
        <v>230</v>
      </c>
      <c r="AS28" s="143" t="s">
        <v>231</v>
      </c>
      <c r="AT28" s="143" t="s">
        <v>55</v>
      </c>
      <c r="AU28" s="143" t="s">
        <v>55</v>
      </c>
      <c r="AV28" s="143" t="s">
        <v>56</v>
      </c>
      <c r="AW28" s="144" t="s">
        <v>56</v>
      </c>
      <c r="AX28" s="143" t="s">
        <v>57</v>
      </c>
      <c r="AY28" s="144" t="s">
        <v>57</v>
      </c>
      <c r="AZ28" s="144"/>
      <c r="BA28" s="144" t="s">
        <v>55</v>
      </c>
      <c r="BB28" s="144" t="s">
        <v>55</v>
      </c>
      <c r="BC28" s="144" t="s">
        <v>56</v>
      </c>
      <c r="BD28" s="144" t="s">
        <v>56</v>
      </c>
      <c r="BE28" s="144" t="s">
        <v>57</v>
      </c>
      <c r="BF28" s="144" t="s">
        <v>57</v>
      </c>
      <c r="BG28" s="144" t="s">
        <v>55</v>
      </c>
      <c r="BH28" s="144" t="s">
        <v>55</v>
      </c>
      <c r="BI28" s="144" t="s">
        <v>57</v>
      </c>
      <c r="BJ28" s="144" t="s">
        <v>57</v>
      </c>
      <c r="BK28" s="144" t="s">
        <v>55</v>
      </c>
      <c r="BL28" s="144" t="s">
        <v>55</v>
      </c>
      <c r="BM28" s="144" t="s">
        <v>56</v>
      </c>
      <c r="BN28" s="144" t="s">
        <v>56</v>
      </c>
      <c r="BO28" s="144" t="s">
        <v>55</v>
      </c>
      <c r="BP28" s="144" t="s">
        <v>55</v>
      </c>
      <c r="BQ28" s="144" t="s">
        <v>56</v>
      </c>
      <c r="BR28" s="144" t="s">
        <v>56</v>
      </c>
      <c r="BS28" s="144" t="s">
        <v>57</v>
      </c>
      <c r="BT28" s="144" t="s">
        <v>57</v>
      </c>
      <c r="BU28" s="144"/>
      <c r="BV28" s="144"/>
      <c r="BW28" s="144"/>
      <c r="BY28" s="130"/>
      <c r="BZ28" s="130"/>
      <c r="CA28" s="131">
        <v>22</v>
      </c>
      <c r="CB28" s="129">
        <f>IF(SUM(CB$7:CB27)=0,CC28,0)</f>
        <v>0</v>
      </c>
      <c r="CC28" s="132">
        <v>0</v>
      </c>
      <c r="CD28" s="133" t="s">
        <v>365</v>
      </c>
      <c r="CE28" s="133"/>
      <c r="CF28" s="515" t="b">
        <f>IF(J8="3D",CF25,IF(J8="3Y",CF26,IF(J8=1,CF27)))</f>
        <v>0</v>
      </c>
      <c r="CG28" s="515"/>
      <c r="CH28" s="132"/>
      <c r="CI28" s="132"/>
      <c r="CJ28" s="133"/>
      <c r="CK28" s="133"/>
      <c r="CL28" s="133"/>
      <c r="CM28" s="133"/>
      <c r="CN28" s="133"/>
      <c r="CO28" s="133"/>
      <c r="CP28" s="133"/>
      <c r="CQ28" s="32"/>
      <c r="CX28" s="62">
        <f t="shared" si="21"/>
        <v>205.00001</v>
      </c>
      <c r="CY28" s="132" t="e">
        <f t="shared" si="22"/>
        <v>#VALUE!</v>
      </c>
      <c r="CZ28" s="135" t="str">
        <f t="shared" si="16"/>
        <v>ERR</v>
      </c>
      <c r="DA28" s="62">
        <f t="shared" si="8"/>
        <v>230</v>
      </c>
      <c r="DB28" s="62">
        <f t="shared" si="9"/>
        <v>230</v>
      </c>
      <c r="DC28" s="62" t="s">
        <v>109</v>
      </c>
      <c r="DD28" s="62">
        <v>15</v>
      </c>
      <c r="DE28" s="62">
        <v>1</v>
      </c>
      <c r="DF28" s="62">
        <f t="shared" si="7"/>
        <v>190</v>
      </c>
      <c r="DG28" s="62">
        <f t="shared" si="7"/>
        <v>230</v>
      </c>
      <c r="DH28" s="62">
        <f t="shared" si="7"/>
        <v>255</v>
      </c>
      <c r="DI28" s="27"/>
      <c r="DJ28" s="135" t="str">
        <f t="shared" si="17"/>
        <v>ERR</v>
      </c>
      <c r="DK28" s="135" t="str">
        <f t="shared" si="10"/>
        <v>ERR</v>
      </c>
      <c r="DL28" s="135" t="str">
        <f t="shared" si="11"/>
        <v>ERR</v>
      </c>
      <c r="DN28" s="62" t="s">
        <v>106</v>
      </c>
      <c r="DO28" s="62">
        <v>215</v>
      </c>
      <c r="DP28" s="62">
        <v>255</v>
      </c>
      <c r="DQ28" s="62">
        <v>290</v>
      </c>
      <c r="DR28" s="62">
        <v>170</v>
      </c>
      <c r="DS28" s="62">
        <v>205</v>
      </c>
      <c r="DT28" s="62">
        <v>230</v>
      </c>
      <c r="DV28" s="62">
        <f t="shared" si="2"/>
        <v>400.00000999999997</v>
      </c>
      <c r="DW28" s="62">
        <v>450</v>
      </c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J28" s="24" t="s">
        <v>110</v>
      </c>
      <c r="EK28" s="22">
        <f>EB84</f>
        <v>4</v>
      </c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FH28" s="337"/>
      <c r="FI28" s="337"/>
      <c r="FJ28" s="337"/>
      <c r="FK28" s="337"/>
      <c r="FL28" s="337"/>
      <c r="FM28" s="337"/>
      <c r="FN28" s="337"/>
      <c r="FP28" s="334" t="str">
        <f t="shared" si="23"/>
        <v xml:space="preserve"> </v>
      </c>
      <c r="FQ28" s="334" t="str">
        <f t="shared" si="25"/>
        <v>AUTO</v>
      </c>
      <c r="FR28" s="334">
        <f t="shared" si="24"/>
        <v>1</v>
      </c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K28" s="24" t="s">
        <v>110</v>
      </c>
      <c r="GL28" s="22">
        <f>GC84</f>
        <v>2</v>
      </c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</row>
    <row r="29" spans="1:207" ht="12" customHeight="1">
      <c r="A29" s="92"/>
      <c r="B29" s="106">
        <v>1</v>
      </c>
      <c r="C29" s="256"/>
      <c r="D29" s="258"/>
      <c r="E29" s="256" t="s">
        <v>12</v>
      </c>
      <c r="F29" s="255" t="s">
        <v>12</v>
      </c>
      <c r="G29" s="254" t="s">
        <v>394</v>
      </c>
      <c r="H29" s="123"/>
      <c r="I29" s="108" t="str">
        <f>U29</f>
        <v>L1</v>
      </c>
      <c r="J29" s="669">
        <v>1100</v>
      </c>
      <c r="K29" s="670" t="s">
        <v>394</v>
      </c>
      <c r="L29" s="667" t="s">
        <v>12</v>
      </c>
      <c r="M29" s="668" t="s">
        <v>12</v>
      </c>
      <c r="N29" s="671" t="s">
        <v>978</v>
      </c>
      <c r="O29" s="672" t="s">
        <v>979</v>
      </c>
      <c r="P29" s="106">
        <v>2</v>
      </c>
      <c r="Q29" s="110"/>
      <c r="S29" s="133">
        <f>IF($H$5&gt;0,1,0)</f>
        <v>1</v>
      </c>
      <c r="T29" s="126">
        <f>IF($S$4="NONE",0,S29)</f>
        <v>0</v>
      </c>
      <c r="U29" s="126" t="s">
        <v>55</v>
      </c>
      <c r="W29" s="133">
        <f>IF(T29=0,0,(H29+J29))</f>
        <v>0</v>
      </c>
      <c r="Z29" s="133">
        <f>IF(T29=0,0,IF(G29="G",H29,0))</f>
        <v>0</v>
      </c>
      <c r="AA29" s="133">
        <f>IF(T29=0,0,IF(K29="G",J29,0))</f>
        <v>0</v>
      </c>
      <c r="AF29" s="126">
        <f>IF(T29=0,0,IF(G29="D",H29,0))</f>
        <v>0</v>
      </c>
      <c r="AG29" s="126">
        <f>IF(T29=0,0,IF(K29="D",J29,0))</f>
        <v>0</v>
      </c>
      <c r="AL29" s="126">
        <f>IF(T29=0,0,IF(G29="C",H29,0))</f>
        <v>0</v>
      </c>
      <c r="AM29" s="126">
        <f>IF(T29=0,0,IF(K29="C",J29,0))</f>
        <v>0</v>
      </c>
      <c r="AR29" s="133">
        <f t="shared" ref="AR29:AR70" si="26">IF(T29=0,0,IF(F29="H",H29,0))</f>
        <v>0</v>
      </c>
      <c r="AS29" s="133">
        <f t="shared" ref="AS29:AS70" si="27">IF(T29=0,0,IF(L29="H",J29,0))</f>
        <v>0</v>
      </c>
      <c r="AT29" s="133">
        <f>IF(T29=0,0,IF(G29="M",H29,0))</f>
        <v>0</v>
      </c>
      <c r="AU29" s="133">
        <f>IF(T29=0,0,IF(K29="M",J29,0))</f>
        <v>0</v>
      </c>
      <c r="BA29" s="133">
        <f>IF(T29=0,0,IF(G29="K",H29,0))</f>
        <v>0</v>
      </c>
      <c r="BB29" s="133">
        <f>IF(T29=0,0,IF(K29="K",J29,0))</f>
        <v>0</v>
      </c>
      <c r="BC29" s="133"/>
      <c r="BD29" s="133"/>
      <c r="BE29" s="133"/>
      <c r="BF29" s="133"/>
      <c r="BG29" s="126">
        <f>IF(T29=0,0,IF(E29="N",H29,0))</f>
        <v>0</v>
      </c>
      <c r="BH29" s="133">
        <f>IF(T29=0,0,IF(M29="N",J29,0))</f>
        <v>0</v>
      </c>
      <c r="BK29" s="133">
        <f>IF(T29=0,0,IF(E29="N",H29,0))</f>
        <v>0</v>
      </c>
      <c r="BL29" s="133">
        <f>IF(T29=0,0,IF(M29="N",J29,0))</f>
        <v>0</v>
      </c>
      <c r="BM29" s="133"/>
      <c r="BN29" s="133"/>
      <c r="BO29" s="133">
        <f>IF(T29=0,0,IF(E29="N",H29,0))</f>
        <v>0</v>
      </c>
      <c r="BP29" s="133">
        <f>IF(T29=0,0,IF(M29="N",J29,0))</f>
        <v>0</v>
      </c>
      <c r="BQ29" s="133"/>
      <c r="BR29" s="133"/>
      <c r="BS29" s="133"/>
      <c r="BT29" s="133"/>
      <c r="BU29" s="133"/>
      <c r="BV29" s="133"/>
      <c r="BW29" s="133"/>
      <c r="BY29" s="130"/>
      <c r="BZ29" s="130"/>
      <c r="CA29" s="131">
        <v>23</v>
      </c>
      <c r="CB29" s="129">
        <f>IF(SUM(CB$7:CB28)=0,CC29,0)</f>
        <v>0</v>
      </c>
      <c r="CC29" s="132">
        <v>0</v>
      </c>
      <c r="CD29" s="133" t="s">
        <v>364</v>
      </c>
      <c r="CE29" s="133"/>
      <c r="CF29" s="133"/>
      <c r="CG29" s="133"/>
      <c r="CH29" s="132"/>
      <c r="CI29" s="132"/>
      <c r="CJ29" s="133"/>
      <c r="CK29" s="133">
        <f>IF(AND(CJ13&lt;&gt;CJ14,H8="3D"),1,0)</f>
        <v>0</v>
      </c>
      <c r="CL29" s="133"/>
      <c r="CM29" s="133"/>
      <c r="CN29" s="133"/>
      <c r="CO29" s="133"/>
      <c r="CP29" s="133"/>
      <c r="CQ29" s="32"/>
      <c r="CX29" s="62">
        <f t="shared" si="21"/>
        <v>230.00001</v>
      </c>
      <c r="CY29" s="132" t="e">
        <f t="shared" si="22"/>
        <v>#VALUE!</v>
      </c>
      <c r="CZ29" s="135" t="str">
        <f t="shared" si="16"/>
        <v>ERR</v>
      </c>
      <c r="DA29" s="62">
        <f t="shared" si="8"/>
        <v>250</v>
      </c>
      <c r="DB29" s="62">
        <f t="shared" si="9"/>
        <v>250</v>
      </c>
      <c r="DC29" s="62" t="s">
        <v>112</v>
      </c>
      <c r="DD29" s="62">
        <v>16</v>
      </c>
      <c r="DE29" s="62">
        <v>1</v>
      </c>
      <c r="DF29" s="62">
        <f t="shared" si="7"/>
        <v>210</v>
      </c>
      <c r="DG29" s="62">
        <f t="shared" si="7"/>
        <v>250</v>
      </c>
      <c r="DH29" s="62">
        <f t="shared" si="7"/>
        <v>280</v>
      </c>
      <c r="DI29" s="27"/>
      <c r="DJ29" s="135" t="str">
        <f t="shared" si="17"/>
        <v>ERR</v>
      </c>
      <c r="DK29" s="135" t="str">
        <f t="shared" si="10"/>
        <v>ERR</v>
      </c>
      <c r="DL29" s="135" t="str">
        <f t="shared" si="11"/>
        <v>ERR</v>
      </c>
      <c r="DN29" s="62" t="s">
        <v>109</v>
      </c>
      <c r="DO29" s="62">
        <v>240</v>
      </c>
      <c r="DP29" s="62">
        <v>285</v>
      </c>
      <c r="DQ29" s="62">
        <v>320</v>
      </c>
      <c r="DR29" s="62">
        <v>190</v>
      </c>
      <c r="DS29" s="62">
        <v>230</v>
      </c>
      <c r="DT29" s="62">
        <v>255</v>
      </c>
      <c r="DV29" s="62">
        <f t="shared" si="2"/>
        <v>450.00000999999997</v>
      </c>
      <c r="DW29" s="62">
        <v>500</v>
      </c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FH29" s="358"/>
      <c r="FI29" s="337" t="s">
        <v>401</v>
      </c>
      <c r="FJ29" s="337" t="s">
        <v>401</v>
      </c>
      <c r="FK29" s="337"/>
      <c r="FL29" s="337" t="s">
        <v>472</v>
      </c>
      <c r="FM29" s="337" t="s">
        <v>472</v>
      </c>
      <c r="FN29" s="346"/>
      <c r="FP29" s="334" t="str">
        <f t="shared" si="23"/>
        <v xml:space="preserve"> </v>
      </c>
      <c r="FQ29" s="334" t="str">
        <f t="shared" si="25"/>
        <v>AUTO</v>
      </c>
      <c r="FR29" s="334">
        <f t="shared" si="24"/>
        <v>1</v>
      </c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</row>
    <row r="30" spans="1:207" ht="12" customHeight="1">
      <c r="A30" s="92"/>
      <c r="B30" s="106">
        <v>3</v>
      </c>
      <c r="C30" s="256"/>
      <c r="D30" s="253"/>
      <c r="E30" s="256" t="s">
        <v>12</v>
      </c>
      <c r="F30" s="255" t="s">
        <v>12</v>
      </c>
      <c r="G30" s="254" t="s">
        <v>394</v>
      </c>
      <c r="H30" s="123"/>
      <c r="I30" s="108" t="str">
        <f t="shared" ref="I30:I70" si="28">U30</f>
        <v>L2</v>
      </c>
      <c r="J30" s="669">
        <v>1100</v>
      </c>
      <c r="K30" s="670" t="s">
        <v>394</v>
      </c>
      <c r="L30" s="667" t="s">
        <v>12</v>
      </c>
      <c r="M30" s="668" t="s">
        <v>12</v>
      </c>
      <c r="N30" s="671" t="s">
        <v>978</v>
      </c>
      <c r="O30" s="672" t="s">
        <v>979</v>
      </c>
      <c r="P30" s="106">
        <v>4</v>
      </c>
      <c r="Q30" s="110"/>
      <c r="S30" s="133">
        <f>IF($H$5&gt;2,1,0)</f>
        <v>1</v>
      </c>
      <c r="T30" s="126">
        <f t="shared" ref="T30:T70" si="29">IF($S$4="NONE",0,S30)</f>
        <v>0</v>
      </c>
      <c r="U30" s="126" t="s">
        <v>56</v>
      </c>
      <c r="X30" s="133">
        <f>IF(T30=0,0,(H30+J30))</f>
        <v>0</v>
      </c>
      <c r="AB30" s="133">
        <f>IF(T30=0,0,IF(G30="G",H30,0))</f>
        <v>0</v>
      </c>
      <c r="AC30" s="133">
        <f>IF(T30=0,0,IF(K30="G",J30,0))</f>
        <v>0</v>
      </c>
      <c r="AH30" s="126">
        <f>IF(T30=0,0,IF(G30="D",H30,0))</f>
        <v>0</v>
      </c>
      <c r="AI30" s="126">
        <f>IF(T30=0,0,IF(K30="D",J30,0))</f>
        <v>0</v>
      </c>
      <c r="AN30" s="126">
        <f>IF(T30=0,0,IF(G30="C",H30,0))</f>
        <v>0</v>
      </c>
      <c r="AO30" s="126">
        <f>IF(T30=0,0,IF(K30="C",J30,0))</f>
        <v>0</v>
      </c>
      <c r="AR30" s="133">
        <f t="shared" si="26"/>
        <v>0</v>
      </c>
      <c r="AS30" s="133">
        <f t="shared" si="27"/>
        <v>0</v>
      </c>
      <c r="AV30" s="133">
        <f>IF(T30=0,0,IF(G30="M",H30,0))</f>
        <v>0</v>
      </c>
      <c r="AW30" s="133">
        <f>IF(T30=0,0,IF(K30="M",J30,0))</f>
        <v>0</v>
      </c>
      <c r="BA30" s="133"/>
      <c r="BB30" s="133"/>
      <c r="BC30" s="133">
        <f>IF(T30=0,0,IF(G30="K",H30,0))</f>
        <v>0</v>
      </c>
      <c r="BD30" s="133">
        <f>IF(T30=0,0,IF(K30="K",J30,0))</f>
        <v>0</v>
      </c>
      <c r="BE30" s="133"/>
      <c r="BF30" s="133"/>
      <c r="BK30" s="133"/>
      <c r="BL30" s="133"/>
      <c r="BM30" s="133">
        <f>IF(T30=0,0,IF(E30="N",H30,0))</f>
        <v>0</v>
      </c>
      <c r="BN30" s="133">
        <f>IF(T30=0,0,IF(M30="N",J30,0))</f>
        <v>0</v>
      </c>
      <c r="BO30" s="133"/>
      <c r="BP30" s="133"/>
      <c r="BQ30" s="133">
        <f>IF(T30=0,0,IF(E30="N",H30,0))</f>
        <v>0</v>
      </c>
      <c r="BR30" s="133">
        <f>IF(T30=0,0,IF(M30="N",J30,0))</f>
        <v>0</v>
      </c>
      <c r="BS30" s="133"/>
      <c r="BT30" s="133"/>
      <c r="BU30" s="133"/>
      <c r="BV30" s="133"/>
      <c r="BW30" s="133"/>
      <c r="BY30" s="130"/>
      <c r="BZ30" s="130"/>
      <c r="CA30" s="131">
        <v>24</v>
      </c>
      <c r="CB30" s="129">
        <f>IF(SUM(CB$7:CB29)=0,CC30,0)</f>
        <v>0</v>
      </c>
      <c r="CC30" s="132">
        <f>IF(Input!CC34=28,43,IF(J8="NONE",0,IF(ISBLANK(H8)=TRUE,24,IF(AND(J8="3Y",H8=1),0,IF(J8&lt;&gt;H8,24,0)))))</f>
        <v>0</v>
      </c>
      <c r="CD30" s="516" t="str">
        <f>IF(ISBLANK(H8)=TRUE,"ENTER PHASE",IF(Input!CC34=28,"ERROR IN HOUSE PANEL","ENTER SOURCE PHASE"))</f>
        <v>ENTER SOURCE PHASE</v>
      </c>
      <c r="CE30" s="133"/>
      <c r="CF30" s="133" t="s">
        <v>787</v>
      </c>
      <c r="CG30" s="133"/>
      <c r="CH30" s="132"/>
      <c r="CI30" s="132"/>
      <c r="CJ30" s="133"/>
      <c r="CK30" s="133"/>
      <c r="CL30" s="133"/>
      <c r="CM30" s="133"/>
      <c r="CN30" s="133"/>
      <c r="CO30" s="133"/>
      <c r="CP30" s="133"/>
      <c r="CQ30" s="32"/>
      <c r="CU30" s="55" t="s">
        <v>98</v>
      </c>
      <c r="CV30" s="56">
        <f>EK27</f>
        <v>0.75</v>
      </c>
      <c r="CX30" s="62">
        <f t="shared" si="21"/>
        <v>250.00001</v>
      </c>
      <c r="CY30" s="132" t="e">
        <f t="shared" si="22"/>
        <v>#VALUE!</v>
      </c>
      <c r="CZ30" s="135" t="str">
        <f t="shared" si="16"/>
        <v>ERR</v>
      </c>
      <c r="DA30" s="62">
        <f t="shared" si="8"/>
        <v>270</v>
      </c>
      <c r="DB30" s="62">
        <f t="shared" si="9"/>
        <v>270</v>
      </c>
      <c r="DC30" s="62" t="s">
        <v>114</v>
      </c>
      <c r="DD30" s="62">
        <v>17</v>
      </c>
      <c r="DE30" s="62">
        <v>1</v>
      </c>
      <c r="DF30" s="62">
        <f t="shared" si="7"/>
        <v>225</v>
      </c>
      <c r="DG30" s="62">
        <f t="shared" si="7"/>
        <v>270</v>
      </c>
      <c r="DH30" s="62">
        <f t="shared" si="7"/>
        <v>305</v>
      </c>
      <c r="DI30" s="27"/>
      <c r="DJ30" s="135" t="str">
        <f t="shared" si="17"/>
        <v>ERR</v>
      </c>
      <c r="DK30" s="135" t="str">
        <f t="shared" si="10"/>
        <v>ERR</v>
      </c>
      <c r="DL30" s="135" t="str">
        <f t="shared" si="11"/>
        <v>ERR</v>
      </c>
      <c r="DN30" s="62" t="s">
        <v>112</v>
      </c>
      <c r="DO30" s="62">
        <v>260</v>
      </c>
      <c r="DP30" s="62">
        <v>310</v>
      </c>
      <c r="DQ30" s="62">
        <v>350</v>
      </c>
      <c r="DR30" s="62">
        <v>210</v>
      </c>
      <c r="DS30" s="62">
        <v>250</v>
      </c>
      <c r="DT30" s="62">
        <v>280</v>
      </c>
      <c r="DV30" s="62">
        <f t="shared" si="2"/>
        <v>500.00000999999997</v>
      </c>
      <c r="DW30" s="62">
        <v>600</v>
      </c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J30" s="274"/>
      <c r="EK30" s="274"/>
      <c r="EL30" s="274"/>
      <c r="EM30" s="274"/>
      <c r="EN30" s="274"/>
      <c r="EO30" s="58"/>
      <c r="EP30" s="275"/>
      <c r="EQ30" s="58"/>
      <c r="ER30" s="58" t="str">
        <f>EM10</f>
        <v>EMT</v>
      </c>
      <c r="ES30" s="58" t="s">
        <v>32</v>
      </c>
      <c r="ET30" s="22"/>
      <c r="EU30" s="22"/>
      <c r="EV30" s="22"/>
      <c r="EW30" s="22"/>
      <c r="FH30" s="358"/>
      <c r="FI30" s="346" t="s">
        <v>574</v>
      </c>
      <c r="FJ30" s="346" t="s">
        <v>48</v>
      </c>
      <c r="FK30" s="337"/>
      <c r="FL30" s="346" t="s">
        <v>574</v>
      </c>
      <c r="FM30" s="346" t="s">
        <v>48</v>
      </c>
      <c r="FN30" s="346"/>
      <c r="FP30" s="334" t="str">
        <f t="shared" si="23"/>
        <v xml:space="preserve"> </v>
      </c>
      <c r="FQ30" s="334" t="str">
        <f t="shared" si="25"/>
        <v>AUTO</v>
      </c>
      <c r="FR30" s="334">
        <f t="shared" si="24"/>
        <v>1</v>
      </c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K30" s="274"/>
      <c r="GL30" s="274"/>
      <c r="GM30" s="274"/>
      <c r="GN30" s="274"/>
      <c r="GO30" s="274"/>
      <c r="GP30" s="58"/>
      <c r="GQ30" s="275"/>
      <c r="GR30" s="58"/>
      <c r="GS30" s="58" t="str">
        <f>GN10</f>
        <v>EMT</v>
      </c>
      <c r="GT30" s="58" t="s">
        <v>32</v>
      </c>
      <c r="GU30" s="22"/>
      <c r="GV30" s="22"/>
      <c r="GW30" s="22"/>
      <c r="GX30" s="22"/>
    </row>
    <row r="31" spans="1:207" ht="12" customHeight="1">
      <c r="A31" s="92"/>
      <c r="B31" s="106">
        <v>5</v>
      </c>
      <c r="C31" s="256"/>
      <c r="D31" s="253"/>
      <c r="E31" s="256" t="s">
        <v>12</v>
      </c>
      <c r="F31" s="255" t="s">
        <v>12</v>
      </c>
      <c r="G31" s="254" t="s">
        <v>394</v>
      </c>
      <c r="H31" s="123"/>
      <c r="I31" s="108" t="str">
        <f t="shared" si="28"/>
        <v>L1</v>
      </c>
      <c r="J31" s="669">
        <v>1100</v>
      </c>
      <c r="K31" s="670" t="s">
        <v>394</v>
      </c>
      <c r="L31" s="667" t="s">
        <v>12</v>
      </c>
      <c r="M31" s="668" t="s">
        <v>12</v>
      </c>
      <c r="N31" s="671" t="s">
        <v>978</v>
      </c>
      <c r="O31" s="672" t="s">
        <v>979</v>
      </c>
      <c r="P31" s="106">
        <v>6</v>
      </c>
      <c r="Q31" s="110"/>
      <c r="S31" s="133">
        <f>IF($H$5&gt;4,1,0)</f>
        <v>1</v>
      </c>
      <c r="T31" s="126">
        <f t="shared" si="29"/>
        <v>0</v>
      </c>
      <c r="U31" s="126" t="str">
        <f>IF($H$8=1,"L1","L3")</f>
        <v>L1</v>
      </c>
      <c r="W31" s="133">
        <f>IF(T31=0,0,IF($H$8=1,(H31+J31)," "))</f>
        <v>0</v>
      </c>
      <c r="Y31" s="133">
        <f>IF(T31=0,0,IF($H$8=1," ",(H31+J31)))</f>
        <v>0</v>
      </c>
      <c r="Z31" s="133">
        <f>IF($H$8=1,IF(T31=0,0,IF(G31="G",H31,0))," ")</f>
        <v>0</v>
      </c>
      <c r="AA31" s="133">
        <f>IF($H$8=1,IF(T31=0,0,IF(K31="G",J31,0))," ")</f>
        <v>0</v>
      </c>
      <c r="AD31" s="133" t="str">
        <f>IF($H$8=1," ",IF(T31=0,0,IF(G31="G",H31,0)))</f>
        <v xml:space="preserve"> </v>
      </c>
      <c r="AE31" s="133" t="str">
        <f>IF($H$8=1," ",IF(T31=0,0,IF(K31="G",J31,0)))</f>
        <v xml:space="preserve"> </v>
      </c>
      <c r="AF31" s="126">
        <f>IF($H$8=1,IF(T31=0,0,IF(G31="D",H31,0))," ")</f>
        <v>0</v>
      </c>
      <c r="AG31" s="126">
        <f>IF($H$8=1,IF(T31=0,0,IF(K31="D",J31,0))," ")</f>
        <v>0</v>
      </c>
      <c r="AJ31" s="126" t="str">
        <f>IF($H$8=1," ",IF(T31=0,0,IF(G31="D",H31,0)))</f>
        <v xml:space="preserve"> </v>
      </c>
      <c r="AK31" s="126" t="str">
        <f>IF($H$8=1," ",IF(T31=0,0,IF(K31="D",J31,0)))</f>
        <v xml:space="preserve"> </v>
      </c>
      <c r="AL31" s="126">
        <f>IF($H$8=1,IF(T31=0,0,IF(G31="C",H31,0))," ")</f>
        <v>0</v>
      </c>
      <c r="AM31" s="126">
        <f>IF($H$8=1,IF(T31=0,0,IF(K31="C",J31,0))," ")</f>
        <v>0</v>
      </c>
      <c r="AP31" s="126" t="str">
        <f>IF($H$8=1," ",IF(T31=0,0,IF(G31="C",H31,0)))</f>
        <v xml:space="preserve"> </v>
      </c>
      <c r="AQ31" s="126" t="str">
        <f>IF($H$8=1," ",IF(T31=0,0,IF(K31="C",J31,0)))</f>
        <v xml:space="preserve"> </v>
      </c>
      <c r="AR31" s="133">
        <f t="shared" si="26"/>
        <v>0</v>
      </c>
      <c r="AS31" s="133">
        <f t="shared" si="27"/>
        <v>0</v>
      </c>
      <c r="AT31" s="133">
        <f>IF(T31=0,0,IF($H$8=1,IF(G31="M",H31,0)," "))</f>
        <v>0</v>
      </c>
      <c r="AU31" s="133">
        <f>IF(T31=0,0,IF($H$8=1,IF(K31="M",J31,0)," "))</f>
        <v>0</v>
      </c>
      <c r="AX31" s="133">
        <f>IF(T31=0,0,IF($H$8=1," ",IF(G31="M",H31,0)))</f>
        <v>0</v>
      </c>
      <c r="AY31" s="133">
        <f>IF(T31=0,0,IF($H$8=1," ",IF(K31="M",J31,0)))</f>
        <v>0</v>
      </c>
      <c r="BA31" s="133">
        <f>IF(T31=0,0,IF($H$8=1,IF(G31="K",H31,0)," "))</f>
        <v>0</v>
      </c>
      <c r="BB31" s="133">
        <f>IF(T31=0,0,IF($H$8=1,IF(K31="K",J31,0)," "))</f>
        <v>0</v>
      </c>
      <c r="BC31" s="133"/>
      <c r="BD31" s="133"/>
      <c r="BE31" s="133">
        <f>IF(T31=0,0,IF($H$8=1," ",IF(G31="K",H31,0)))</f>
        <v>0</v>
      </c>
      <c r="BF31" s="133">
        <f>IF(T31=0,0,IF($H$8=1," ",IF(K31="K",J31,0)))</f>
        <v>0</v>
      </c>
      <c r="BG31" s="126"/>
      <c r="BI31" s="133">
        <f>IF(T31=0,0,IF(E31="N",H31,0))</f>
        <v>0</v>
      </c>
      <c r="BJ31" s="133">
        <f>IF(T31=0,0,IF(M31="N",J31,0))</f>
        <v>0</v>
      </c>
      <c r="BK31" s="133">
        <f>IF(T31=0,0,IF(E31="N",H31,0))</f>
        <v>0</v>
      </c>
      <c r="BL31" s="133">
        <f>IF(T31=0,0,IF(M31="N",J31,0))</f>
        <v>0</v>
      </c>
      <c r="BM31" s="133"/>
      <c r="BN31" s="133"/>
      <c r="BO31" s="133"/>
      <c r="BP31" s="133"/>
      <c r="BQ31" s="133"/>
      <c r="BR31" s="133"/>
      <c r="BS31" s="133">
        <f>IF(T31=0,0,IF(E31="N",H31,0))</f>
        <v>0</v>
      </c>
      <c r="BT31" s="133">
        <f>IF(T31=0,0,IF(M31="N",J31,0))</f>
        <v>0</v>
      </c>
      <c r="BU31" s="133"/>
      <c r="BV31" s="133"/>
      <c r="BW31" s="133"/>
      <c r="BY31" s="130"/>
      <c r="BZ31" s="130"/>
      <c r="CA31" s="131">
        <v>25</v>
      </c>
      <c r="CB31" s="129">
        <f>IF(SUM(CB$7:CB30)=0,CC31,0)</f>
        <v>0</v>
      </c>
      <c r="CC31" s="132">
        <v>0</v>
      </c>
      <c r="CD31" s="133" t="s">
        <v>525</v>
      </c>
      <c r="CE31" s="133"/>
      <c r="CF31" s="133" t="s">
        <v>784</v>
      </c>
      <c r="CG31" s="133"/>
      <c r="CH31" s="132"/>
      <c r="CI31" s="132"/>
      <c r="CJ31" s="133"/>
      <c r="CK31" s="133"/>
      <c r="CL31" s="133"/>
      <c r="CM31" s="133"/>
      <c r="CN31" s="133"/>
      <c r="CO31" s="133"/>
      <c r="CP31" s="133"/>
      <c r="CQ31" s="32"/>
      <c r="CU31" s="55"/>
      <c r="CV31" s="56" t="str">
        <f>IF(CV30=0.5,"1/2''",IF(CV30=0.75,"3/4''",IF(CV30=1,"1''",IF(CV30=1.25,"1 1/4''",IF(CV30=1.5,"1 1/2''",IF(CV30=2,"2''",0))))))</f>
        <v>3/4''</v>
      </c>
      <c r="CX31" s="57">
        <f t="shared" si="21"/>
        <v>270.00000999999997</v>
      </c>
      <c r="CY31" s="132" t="e">
        <f t="shared" si="22"/>
        <v>#VALUE!</v>
      </c>
      <c r="CZ31" s="333" t="str">
        <f t="shared" si="16"/>
        <v>ERR</v>
      </c>
      <c r="DA31" s="57">
        <f t="shared" si="8"/>
        <v>310</v>
      </c>
      <c r="DB31" s="57">
        <f t="shared" si="9"/>
        <v>310</v>
      </c>
      <c r="DC31" s="57" t="s">
        <v>116</v>
      </c>
      <c r="DD31" s="57">
        <v>18</v>
      </c>
      <c r="DE31" s="57">
        <v>1</v>
      </c>
      <c r="DF31" s="57">
        <f t="shared" si="7"/>
        <v>260</v>
      </c>
      <c r="DG31" s="57">
        <f t="shared" si="7"/>
        <v>310</v>
      </c>
      <c r="DH31" s="57">
        <f t="shared" si="7"/>
        <v>350</v>
      </c>
      <c r="DI31" s="27"/>
      <c r="DJ31" s="333" t="str">
        <f t="shared" si="17"/>
        <v>ERR</v>
      </c>
      <c r="DK31" s="333" t="str">
        <f t="shared" si="10"/>
        <v>ERR</v>
      </c>
      <c r="DL31" s="333" t="str">
        <f t="shared" si="11"/>
        <v>ERR</v>
      </c>
      <c r="DN31" s="62" t="s">
        <v>114</v>
      </c>
      <c r="DO31" s="62">
        <v>280</v>
      </c>
      <c r="DP31" s="62">
        <v>335</v>
      </c>
      <c r="DQ31" s="62">
        <v>380</v>
      </c>
      <c r="DR31" s="62">
        <v>225</v>
      </c>
      <c r="DS31" s="62">
        <v>270</v>
      </c>
      <c r="DT31" s="62">
        <v>305</v>
      </c>
      <c r="DV31" s="62">
        <f t="shared" si="2"/>
        <v>600.00000999999997</v>
      </c>
      <c r="DW31" s="62">
        <v>700</v>
      </c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J31" s="276"/>
      <c r="EK31" s="276"/>
      <c r="EL31" s="276"/>
      <c r="EM31" s="276" t="s">
        <v>497</v>
      </c>
      <c r="EN31" s="276" t="s">
        <v>117</v>
      </c>
      <c r="EO31" s="62" t="s">
        <v>118</v>
      </c>
      <c r="EP31" s="277"/>
      <c r="EQ31" s="62"/>
      <c r="ER31" s="62" t="str">
        <f>EM11</f>
        <v>AREA</v>
      </c>
      <c r="ES31" s="62" t="s">
        <v>38</v>
      </c>
      <c r="ET31" s="22"/>
      <c r="EU31" s="22"/>
      <c r="EV31" s="22"/>
      <c r="EW31" s="22"/>
      <c r="FG31" s="347" t="s">
        <v>588</v>
      </c>
      <c r="FH31" s="374">
        <f>IF(D4=X11,0,IF(H4="AUTO",0,H4))</f>
        <v>0</v>
      </c>
      <c r="FI31" s="375">
        <f>IF(FH31=0,0,IF(D4="TRANSFORMER (3-PHASE)",0,VLOOKUP(FH31,FH17:FI26,2)))</f>
        <v>0</v>
      </c>
      <c r="FJ31" s="375">
        <f>IF(FI31=0,0,VLOOKUP(FI31,FI17:FJ26,2))</f>
        <v>0</v>
      </c>
      <c r="FK31" s="375"/>
      <c r="FL31" s="375">
        <f>IF(FH31=0,0,IF(D4="TRANSFORMER (1-PHASE)",0,VLOOKUP(FH31,FL17:FM26,2)))</f>
        <v>0</v>
      </c>
      <c r="FM31" s="375">
        <f>IF(FL31=0,0,VLOOKUP(FL31,FL17:FN26,3))</f>
        <v>0</v>
      </c>
      <c r="FN31" s="376"/>
      <c r="FR31" s="334">
        <f>IF(D4=X11,0,MIN(FR20:FR30))</f>
        <v>0</v>
      </c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K31" s="276"/>
      <c r="GL31" s="276"/>
      <c r="GM31" s="276"/>
      <c r="GN31" s="276" t="s">
        <v>497</v>
      </c>
      <c r="GO31" s="276" t="s">
        <v>117</v>
      </c>
      <c r="GP31" s="62" t="s">
        <v>118</v>
      </c>
      <c r="GQ31" s="277"/>
      <c r="GR31" s="62"/>
      <c r="GS31" s="62" t="str">
        <f>GN11</f>
        <v>AREA</v>
      </c>
      <c r="GT31" s="62" t="s">
        <v>38</v>
      </c>
      <c r="GU31" s="22"/>
      <c r="GV31" s="22"/>
      <c r="GW31" s="22"/>
      <c r="GX31" s="22"/>
    </row>
    <row r="32" spans="1:207" ht="12" customHeight="1">
      <c r="A32" s="92"/>
      <c r="B32" s="106">
        <v>7</v>
      </c>
      <c r="C32" s="256"/>
      <c r="D32" s="253"/>
      <c r="E32" s="256" t="s">
        <v>12</v>
      </c>
      <c r="F32" s="255" t="s">
        <v>12</v>
      </c>
      <c r="G32" s="254" t="s">
        <v>394</v>
      </c>
      <c r="H32" s="123"/>
      <c r="I32" s="108" t="str">
        <f t="shared" si="28"/>
        <v>L2</v>
      </c>
      <c r="J32" s="669">
        <v>1100</v>
      </c>
      <c r="K32" s="670" t="s">
        <v>394</v>
      </c>
      <c r="L32" s="667" t="s">
        <v>12</v>
      </c>
      <c r="M32" s="668" t="s">
        <v>12</v>
      </c>
      <c r="N32" s="671" t="s">
        <v>978</v>
      </c>
      <c r="O32" s="672" t="s">
        <v>979</v>
      </c>
      <c r="P32" s="106">
        <v>8</v>
      </c>
      <c r="Q32" s="110"/>
      <c r="S32" s="133">
        <f>IF($H$5&gt;6,1,0)</f>
        <v>1</v>
      </c>
      <c r="T32" s="126">
        <f t="shared" si="29"/>
        <v>0</v>
      </c>
      <c r="U32" s="126" t="str">
        <f>IF($H$8=1,"L2","L1")</f>
        <v>L2</v>
      </c>
      <c r="W32" s="133">
        <f>IF(T32=0,0,IF($H$8=1," ",(H32+J32)))</f>
        <v>0</v>
      </c>
      <c r="X32" s="133">
        <f>IF(T32=0,0,IF($H$8=1,(H32+J32)," "))</f>
        <v>0</v>
      </c>
      <c r="Z32" s="133" t="str">
        <f>IF($H$8=1," ",IF(T32=0,0,IF(G32="G",H32,0)))</f>
        <v xml:space="preserve"> </v>
      </c>
      <c r="AA32" s="133" t="str">
        <f>IF($H$8=1," ",IF(T32=0,0,IF(K32="G",J32,0)))</f>
        <v xml:space="preserve"> </v>
      </c>
      <c r="AB32" s="133">
        <f>IF($H$8=1,IF(T32=0,0,IF(G32="G",H32,0))," ")</f>
        <v>0</v>
      </c>
      <c r="AC32" s="133">
        <f>IF($H$8=1,IF(T32=0,0,IF(K32="G",J32,0))," ")</f>
        <v>0</v>
      </c>
      <c r="AF32" s="126" t="str">
        <f>IF($H$8=1," ",IF(T32=0,0,IF(G32="D",H32,0)))</f>
        <v xml:space="preserve"> </v>
      </c>
      <c r="AG32" s="126" t="str">
        <f>IF($H$8=1," ",IF(T32=0,0,IF(K32="D",J32,0)))</f>
        <v xml:space="preserve"> </v>
      </c>
      <c r="AH32" s="126">
        <f>IF($H$8=1,IF(T32=0,0,IF(G32="D",H32,0))," ")</f>
        <v>0</v>
      </c>
      <c r="AI32" s="126">
        <f>IF($H$8=1,IF(T32=0,0,IF(K32="D",J32,0))," ")</f>
        <v>0</v>
      </c>
      <c r="AL32" s="126" t="str">
        <f>IF($H$8=1," ",IF(T32=0,0,IF(G32="C",H32,0)))</f>
        <v xml:space="preserve"> </v>
      </c>
      <c r="AM32" s="126" t="str">
        <f>IF($H$8=1," ",IF(T32=0,0,IF(K32="C",J32,0)))</f>
        <v xml:space="preserve"> </v>
      </c>
      <c r="AN32" s="126">
        <f>IF($H$8=1,IF(T32=0,0,IF(G32="C",H32,0))," ")</f>
        <v>0</v>
      </c>
      <c r="AO32" s="126">
        <f>IF($H$8=1,IF(T32=0,0,IF(K32="C",J32,0))," ")</f>
        <v>0</v>
      </c>
      <c r="AR32" s="133">
        <f t="shared" si="26"/>
        <v>0</v>
      </c>
      <c r="AS32" s="133">
        <f t="shared" si="27"/>
        <v>0</v>
      </c>
      <c r="AT32" s="133">
        <f>IF(T32=0,0,IF($H$8=1," ",IF(G32="M",H32,0)))</f>
        <v>0</v>
      </c>
      <c r="AU32" s="133">
        <f>IF(T32=0,0,IF($H$8=1," ",IF(K32="M",J32,0)))</f>
        <v>0</v>
      </c>
      <c r="AV32" s="133">
        <f>IF(T32=0,0,IF($H$8=1,IF(G32="M",H32,0)," "))</f>
        <v>0</v>
      </c>
      <c r="AW32" s="133">
        <f>IF(T32=0,0,IF($H$8=1,IF(K32="M",J32,0)," "))</f>
        <v>0</v>
      </c>
      <c r="BA32" s="133">
        <f>IF(T32=0,0,IF($H$8=1," ",IF(G32="K",H32,0)))</f>
        <v>0</v>
      </c>
      <c r="BB32" s="133">
        <f>IF(T32=0,0,IF($H$8=1," ",IF(K32="K",J32,0)))</f>
        <v>0</v>
      </c>
      <c r="BC32" s="133">
        <f>IF(T32=0,0,IF($H$8=1,IF(G32="K",H32,0)," "))</f>
        <v>0</v>
      </c>
      <c r="BD32" s="133">
        <f>IF(T32=0,0,IF($H$8=1,IF(K32="K",J32,0)," "))</f>
        <v>0</v>
      </c>
      <c r="BE32" s="133"/>
      <c r="BF32" s="133"/>
      <c r="BG32" s="126">
        <f>IF(T32=0,0,IF(E32="N",H32,0))</f>
        <v>0</v>
      </c>
      <c r="BH32" s="133">
        <f>IF(T32=0,0,IF(M32="N",J32,0))</f>
        <v>0</v>
      </c>
      <c r="BK32" s="133"/>
      <c r="BL32" s="133"/>
      <c r="BM32" s="133">
        <f>IF(T32=0,0,IF(E32="N",H32,0))</f>
        <v>0</v>
      </c>
      <c r="BN32" s="133">
        <f>IF(T32=0,0,IF(M32="N",J32,0))</f>
        <v>0</v>
      </c>
      <c r="BO32" s="133">
        <f>IF(T32=0,0,IF(E32="N",H32,0))</f>
        <v>0</v>
      </c>
      <c r="BP32" s="133">
        <f>IF(T32=0,0,IF(M32="N",J32,0))</f>
        <v>0</v>
      </c>
      <c r="BQ32" s="133"/>
      <c r="BR32" s="133"/>
      <c r="BS32" s="133"/>
      <c r="BT32" s="133"/>
      <c r="BU32" s="133"/>
      <c r="BV32" s="133"/>
      <c r="BW32" s="133"/>
      <c r="BY32" s="130"/>
      <c r="BZ32" s="130"/>
      <c r="CA32" s="131">
        <v>26</v>
      </c>
      <c r="CB32" s="129">
        <f>IF(SUM(CB$7:CB31)=0,CC32,0)</f>
        <v>0</v>
      </c>
      <c r="CC32" s="319">
        <f>IF(S4="NONE",0,IF(ISBLANK(D3)=TRUE,26,0))</f>
        <v>0</v>
      </c>
      <c r="CD32" s="133" t="s">
        <v>569</v>
      </c>
      <c r="CE32" s="133"/>
      <c r="CF32" s="515" t="str">
        <f>IF(D4="TRANSFORMER (3-PHASE)",CF30,IF(D4="TRANSFORMER (1-PHASE)",CF31," "))</f>
        <v xml:space="preserve"> </v>
      </c>
      <c r="CG32" s="515"/>
      <c r="CH32" s="132"/>
      <c r="CI32" s="132"/>
      <c r="CJ32" s="133"/>
      <c r="CK32" s="133"/>
      <c r="CL32" s="133"/>
      <c r="CM32" s="133"/>
      <c r="CN32" s="133"/>
      <c r="CO32" s="133"/>
      <c r="CP32" s="133"/>
      <c r="CQ32" s="32"/>
      <c r="CU32" s="55"/>
      <c r="CV32" s="56">
        <f>IF(CV30=2.5,"2 1/2''",IF(CV30=3,"3''",IF(CV30=3.5,"3 1/2''",IF(CV30=4,"4''",0))))</f>
        <v>0</v>
      </c>
      <c r="CX32" s="62">
        <f t="shared" si="21"/>
        <v>310.00000999999997</v>
      </c>
      <c r="CY32" s="134" t="e">
        <f t="shared" si="22"/>
        <v>#VALUE!</v>
      </c>
      <c r="CZ32" s="134" t="e">
        <f t="shared" ref="CZ32:CZ37" si="30">CZ26*DE32</f>
        <v>#VALUE!</v>
      </c>
      <c r="DA32" s="62">
        <f t="shared" si="8"/>
        <v>360</v>
      </c>
      <c r="DB32" s="62">
        <f t="shared" ref="DB32:DB37" si="31">DB26*DE32</f>
        <v>360</v>
      </c>
      <c r="DC32" s="62" t="s">
        <v>103</v>
      </c>
      <c r="DD32" s="62">
        <v>13</v>
      </c>
      <c r="DE32" s="62">
        <v>2</v>
      </c>
      <c r="DF32" s="62"/>
      <c r="DG32" s="62"/>
      <c r="DH32" s="62"/>
      <c r="DI32" s="27"/>
      <c r="DJ32" s="27"/>
      <c r="DK32" s="27"/>
      <c r="DL32" s="27"/>
      <c r="DN32" s="57" t="s">
        <v>116</v>
      </c>
      <c r="DO32" s="57">
        <v>320</v>
      </c>
      <c r="DP32" s="57">
        <v>380</v>
      </c>
      <c r="DQ32" s="57">
        <v>430</v>
      </c>
      <c r="DR32" s="57">
        <v>260</v>
      </c>
      <c r="DS32" s="57">
        <v>310</v>
      </c>
      <c r="DT32" s="57">
        <v>350</v>
      </c>
      <c r="DV32" s="62">
        <f t="shared" si="2"/>
        <v>700.00000999999997</v>
      </c>
      <c r="DW32" s="62">
        <v>800</v>
      </c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J32" s="276"/>
      <c r="EK32" s="276"/>
      <c r="EL32" s="276"/>
      <c r="EM32" s="276"/>
      <c r="EN32" s="276"/>
      <c r="EO32" s="62"/>
      <c r="EP32" s="277"/>
      <c r="EQ32" s="62"/>
      <c r="ER32" s="62" t="str">
        <f>EM12</f>
        <v>SQ IN</v>
      </c>
      <c r="ES32" s="62"/>
      <c r="ET32" s="22"/>
      <c r="EU32" s="22"/>
      <c r="EV32" s="22"/>
      <c r="EW32" s="22"/>
      <c r="FG32" s="347" t="s">
        <v>590</v>
      </c>
      <c r="FH32" s="377">
        <f>IF(D4=X11,0,H19)</f>
        <v>0</v>
      </c>
      <c r="FI32" s="375">
        <f>IF(FH32=0,0,IF(D4="TRANSFORMER (3-PHASE)",0,VLOOKUP(FH32,FG17:FI26,3)))</f>
        <v>0</v>
      </c>
      <c r="FJ32" s="375">
        <f>IF(FI32=0,0,VLOOKUP(FI32,FH17:FJ26,3))</f>
        <v>0</v>
      </c>
      <c r="FK32" s="375"/>
      <c r="FL32" s="375">
        <f>IF(FH32=0,0,IF(D4="TRANSFORMER (1-PHASE)",0,VLOOKUP(FH32,FK17:FM26,3)))</f>
        <v>0</v>
      </c>
      <c r="FM32" s="375">
        <f>IF(FL32=0,0,VLOOKUP(FL32,FL17:FN26,3))</f>
        <v>0</v>
      </c>
      <c r="FN32" s="376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K32" s="276"/>
      <c r="GL32" s="276"/>
      <c r="GM32" s="276"/>
      <c r="GN32" s="276"/>
      <c r="GO32" s="276"/>
      <c r="GP32" s="62"/>
      <c r="GQ32" s="277"/>
      <c r="GR32" s="62"/>
      <c r="GS32" s="62" t="str">
        <f>GN12</f>
        <v>SQ IN</v>
      </c>
      <c r="GT32" s="62"/>
      <c r="GU32" s="22"/>
      <c r="GV32" s="22"/>
      <c r="GW32" s="22"/>
      <c r="GX32" s="22"/>
    </row>
    <row r="33" spans="1:209" ht="12" customHeight="1">
      <c r="A33" s="92"/>
      <c r="B33" s="106">
        <v>9</v>
      </c>
      <c r="C33" s="674"/>
      <c r="D33" s="671"/>
      <c r="E33" s="668" t="s">
        <v>12</v>
      </c>
      <c r="F33" s="667" t="s">
        <v>12</v>
      </c>
      <c r="G33" s="670" t="s">
        <v>394</v>
      </c>
      <c r="H33" s="669"/>
      <c r="I33" s="108" t="str">
        <f t="shared" si="28"/>
        <v>L1</v>
      </c>
      <c r="J33" s="669">
        <v>1100</v>
      </c>
      <c r="K33" s="670" t="s">
        <v>394</v>
      </c>
      <c r="L33" s="667" t="s">
        <v>12</v>
      </c>
      <c r="M33" s="668" t="s">
        <v>12</v>
      </c>
      <c r="N33" s="671" t="s">
        <v>978</v>
      </c>
      <c r="O33" s="672" t="s">
        <v>979</v>
      </c>
      <c r="P33" s="106">
        <v>10</v>
      </c>
      <c r="Q33" s="110"/>
      <c r="S33" s="133">
        <f>IF($H$5&gt;8,1,0)</f>
        <v>1</v>
      </c>
      <c r="T33" s="126">
        <f t="shared" si="29"/>
        <v>0</v>
      </c>
      <c r="U33" s="126" t="str">
        <f>IF($H$8=1,"L1","L2")</f>
        <v>L1</v>
      </c>
      <c r="W33" s="133">
        <f>IF(T33=0,0,IF($H$8=1,(H33+J33)," "))</f>
        <v>0</v>
      </c>
      <c r="X33" s="133">
        <f>IF(T33=0,0,IF($H$8=1," ",(H33+J33)))</f>
        <v>0</v>
      </c>
      <c r="Z33" s="133">
        <f>IF($H$8=1,IF(T33=0,0,IF(G33="G",H33,0))," ")</f>
        <v>0</v>
      </c>
      <c r="AA33" s="133">
        <f>IF($H$8=1,IF(T33=0,0,IF(K33="G",J33,0))," ")</f>
        <v>0</v>
      </c>
      <c r="AB33" s="133" t="str">
        <f>IF($H$8=1," ",IF(T33=0,0,IF(G33="G",H33,0)))</f>
        <v xml:space="preserve"> </v>
      </c>
      <c r="AC33" s="133" t="str">
        <f>IF($H$8=1," ",IF(T33=0,0,IF(K33="G",J33,0)))</f>
        <v xml:space="preserve"> </v>
      </c>
      <c r="AF33" s="126">
        <f>IF($H$8=1,IF(T33=0,0,IF(G33="D",H33,0))," ")</f>
        <v>0</v>
      </c>
      <c r="AG33" s="126">
        <f>IF($H$8=1,IF(T33=0,0,IF(K33="D",J33,0))," ")</f>
        <v>0</v>
      </c>
      <c r="AH33" s="126" t="str">
        <f>IF($H$8=1," ",IF(T33=0,0,IF(G33="D",H33,0)))</f>
        <v xml:space="preserve"> </v>
      </c>
      <c r="AI33" s="126" t="str">
        <f>IF($H$8=1," ",IF(T33=0,0,IF(K33="D",J33,0)))</f>
        <v xml:space="preserve"> </v>
      </c>
      <c r="AL33" s="126">
        <f>IF($H$8=1,IF(T33=0,0,IF(G33="C",H33,0))," ")</f>
        <v>0</v>
      </c>
      <c r="AM33" s="126">
        <f>IF($H$8=1,IF(T33=0,0,IF(K33="C",J33,0))," ")</f>
        <v>0</v>
      </c>
      <c r="AN33" s="126" t="str">
        <f>IF($H$8=1," ",IF(T33=0,0,IF(G33="C",H33,0)))</f>
        <v xml:space="preserve"> </v>
      </c>
      <c r="AO33" s="126" t="str">
        <f>IF($H$8=1," ",IF(T33=0,0,IF(K33="C",J33,0)))</f>
        <v xml:space="preserve"> </v>
      </c>
      <c r="AR33" s="133">
        <f t="shared" si="26"/>
        <v>0</v>
      </c>
      <c r="AS33" s="133">
        <f t="shared" si="27"/>
        <v>0</v>
      </c>
      <c r="AT33" s="133">
        <f>IF(T33=0,0,IF($H$8=1,IF(G33="M",H33,0)," "))</f>
        <v>0</v>
      </c>
      <c r="AU33" s="133">
        <f>IF(T33=0,0,IF($H$8=1,IF(K33="M",J33,0)," "))</f>
        <v>0</v>
      </c>
      <c r="AV33" s="133">
        <f>IF(T33=0,0,IF($H$8=1," ",IF(G33="M",H33,0)))</f>
        <v>0</v>
      </c>
      <c r="AW33" s="133">
        <f>IF(T33=0,0,IF($H$8=1," ",IF(K33="M",J33,0)))</f>
        <v>0</v>
      </c>
      <c r="BA33" s="133">
        <f>IF(T33=0,0,IF($H$8=1,IF(G33="K",H33,0)," "))</f>
        <v>0</v>
      </c>
      <c r="BB33" s="133">
        <f>IF(T33=0,0,IF($H$8=1,IF(K33="K",J33,0)," "))</f>
        <v>0</v>
      </c>
      <c r="BC33" s="133">
        <f>IF(T33=0,0,IF($H$8=1," ",IF(G33="K",H33,0)))</f>
        <v>0</v>
      </c>
      <c r="BD33" s="133">
        <f>IF(T33=0,0,IF($H$8=1," ",IF(K33="K",J33,0)))</f>
        <v>0</v>
      </c>
      <c r="BE33" s="133"/>
      <c r="BF33" s="133"/>
      <c r="BK33" s="133">
        <f>IF(T33=0,0,IF(E33="N",H33,0))</f>
        <v>0</v>
      </c>
      <c r="BL33" s="133">
        <f>IF(T33=0,0,IF(M33="N",J33,0))</f>
        <v>0</v>
      </c>
      <c r="BM33" s="133"/>
      <c r="BN33" s="133"/>
      <c r="BO33" s="133"/>
      <c r="BP33" s="133"/>
      <c r="BQ33" s="133">
        <f>IF(T33=0,0,IF(E33="N",H33,0))</f>
        <v>0</v>
      </c>
      <c r="BR33" s="133">
        <f>IF(T33=0,0,IF(M33="N",J33,0))</f>
        <v>0</v>
      </c>
      <c r="BS33" s="133"/>
      <c r="BT33" s="133"/>
      <c r="BU33" s="133"/>
      <c r="BV33" s="133"/>
      <c r="BW33" s="133"/>
      <c r="BY33" s="130"/>
      <c r="BZ33" s="130"/>
      <c r="CA33" s="131">
        <v>27</v>
      </c>
      <c r="CB33" s="129">
        <f>IF(SUM(CB$7:CB32)=0,CC33,0)</f>
        <v>0</v>
      </c>
      <c r="CC33" s="319">
        <v>0</v>
      </c>
      <c r="CD33" s="133" t="str">
        <f>IF(AND(D4=X11,Input!O15="NONE"),"ENTER SOURCE","SOURCE FEEDS XMFR")</f>
        <v>ENTER SOURCE</v>
      </c>
      <c r="CE33" s="133"/>
      <c r="CF33" s="133"/>
      <c r="CG33" s="133"/>
      <c r="CH33" s="132"/>
      <c r="CI33" s="132"/>
      <c r="CJ33" s="133"/>
      <c r="CK33" s="133"/>
      <c r="CL33" s="133"/>
      <c r="CM33" s="133"/>
      <c r="CN33" s="133"/>
      <c r="CO33" s="133"/>
      <c r="CP33" s="133"/>
      <c r="CQ33" s="32"/>
      <c r="CU33" s="55"/>
      <c r="CV33" s="56" t="str">
        <f>IF(CV30&gt;2,CV32,CV31)</f>
        <v>3/4''</v>
      </c>
      <c r="CX33" s="62">
        <f t="shared" si="21"/>
        <v>360.00000999999997</v>
      </c>
      <c r="CY33" s="135" t="e">
        <f t="shared" si="22"/>
        <v>#VALUE!</v>
      </c>
      <c r="CZ33" s="135" t="e">
        <f t="shared" si="30"/>
        <v>#VALUE!</v>
      </c>
      <c r="DA33" s="62">
        <f t="shared" si="8"/>
        <v>410</v>
      </c>
      <c r="DB33" s="62">
        <f t="shared" si="31"/>
        <v>410</v>
      </c>
      <c r="DC33" s="62" t="s">
        <v>106</v>
      </c>
      <c r="DD33" s="62">
        <v>14</v>
      </c>
      <c r="DE33" s="62">
        <v>2</v>
      </c>
      <c r="DF33" s="62"/>
      <c r="DG33" s="62"/>
      <c r="DH33" s="62"/>
      <c r="DI33" s="27"/>
      <c r="DJ33" s="27"/>
      <c r="DK33" s="27"/>
      <c r="DL33" s="27"/>
      <c r="DN33" s="22"/>
      <c r="DO33" s="22"/>
      <c r="DP33" s="22"/>
      <c r="DV33" s="62">
        <f t="shared" si="2"/>
        <v>800.00000999999997</v>
      </c>
      <c r="DW33" s="62">
        <v>1000</v>
      </c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J33" s="276">
        <v>1</v>
      </c>
      <c r="EK33" s="276">
        <f>IF(EL33&gt;0,1,0)</f>
        <v>0</v>
      </c>
      <c r="EL33" s="276">
        <f>IF(EK$28=2,EM33,IF(EK$28=3,EN33,IF(EK$28=4,EO33,"ERR")))</f>
        <v>0</v>
      </c>
      <c r="EM33" s="276">
        <f>IF(EP33&gt;1.799999,2,0)</f>
        <v>2</v>
      </c>
      <c r="EN33" s="276">
        <f>IF(EP33&gt;2.799999,3,0)</f>
        <v>0</v>
      </c>
      <c r="EO33" s="62">
        <f>IF(EP33&gt;3.799999,4,0)</f>
        <v>0</v>
      </c>
      <c r="EP33" s="64">
        <f t="shared" ref="EP33:EP42" si="32">ER33/EQ33</f>
        <v>2.3984220907297829</v>
      </c>
      <c r="EQ33" s="62">
        <f t="shared" ref="EQ33:EQ42" si="33">$DW$76</f>
        <v>5.0700000000000002E-2</v>
      </c>
      <c r="ER33" s="64">
        <f t="shared" ref="ER33:ER42" si="34">EK13</f>
        <v>0.1216</v>
      </c>
      <c r="ES33" s="62">
        <v>0.5</v>
      </c>
      <c r="ET33" s="22"/>
      <c r="EU33" s="22"/>
      <c r="EV33" s="22"/>
      <c r="EW33" s="22"/>
      <c r="FG33" s="347" t="s">
        <v>589</v>
      </c>
      <c r="FH33" s="374">
        <f>IF(D4=X11,0,'S-Calcs'!V42)</f>
        <v>0</v>
      </c>
      <c r="FI33" s="375">
        <f>IF(D4=X11,0,IF(D4="TRANSFORMER (3-PHASE)",0,VLOOKUP(FH33,FG17:FI26,3)))</f>
        <v>0</v>
      </c>
      <c r="FJ33" s="375">
        <f>IF(D4=X11,0,IF(FI33=0,0,VLOOKUP(FI33,FH17:FJ26,3)))</f>
        <v>0</v>
      </c>
      <c r="FK33" s="375"/>
      <c r="FL33" s="375">
        <f>IF(D4=X11,0,IF(D4="TRANSFORMER (1-PHASE)",0,VLOOKUP(FH33,FK17:FM26,3)))</f>
        <v>0</v>
      </c>
      <c r="FM33" s="375">
        <f>IF(D4=X11,0,IF(FL33=0,0,VLOOKUP(FL33,FL17:FN26,3)))</f>
        <v>0</v>
      </c>
      <c r="FN33" s="376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K33" s="276">
        <v>1</v>
      </c>
      <c r="GL33" s="276">
        <f>IF(GM33&gt;0,1,0)</f>
        <v>1</v>
      </c>
      <c r="GM33" s="276">
        <f>IF(GL$28=2,GN33,IF(GL$28=3,GO33,IF(GL$28=4,GP33,"ERR")))</f>
        <v>2</v>
      </c>
      <c r="GN33" s="276">
        <f>IF(GQ33&gt;1.799999,2,0)</f>
        <v>2</v>
      </c>
      <c r="GO33" s="276">
        <f>IF(GQ33&gt;2.799999,3,0)</f>
        <v>0</v>
      </c>
      <c r="GP33" s="62">
        <f>IF(GQ33&gt;3.799999,4,0)</f>
        <v>0</v>
      </c>
      <c r="GQ33" s="64">
        <f t="shared" ref="GQ33:GQ42" si="35">GS33/GR33</f>
        <v>1.8587771203155816</v>
      </c>
      <c r="GR33" s="62">
        <f t="shared" ref="GR33:GR42" si="36">$DW$76</f>
        <v>5.0700000000000002E-2</v>
      </c>
      <c r="GS33" s="64">
        <f t="shared" ref="GS33:GS42" si="37">GL13</f>
        <v>9.423999999999999E-2</v>
      </c>
      <c r="GT33" s="62">
        <v>0.5</v>
      </c>
      <c r="GU33" s="22"/>
      <c r="GV33" s="22"/>
      <c r="GW33" s="22"/>
      <c r="GX33" s="22"/>
    </row>
    <row r="34" spans="1:209" ht="12" customHeight="1">
      <c r="A34" s="92"/>
      <c r="B34" s="106">
        <v>11</v>
      </c>
      <c r="C34" s="674"/>
      <c r="D34" s="673" t="s">
        <v>982</v>
      </c>
      <c r="E34" s="668" t="s">
        <v>12</v>
      </c>
      <c r="F34" s="667" t="s">
        <v>12</v>
      </c>
      <c r="G34" s="670" t="s">
        <v>394</v>
      </c>
      <c r="H34" s="669"/>
      <c r="I34" s="108" t="str">
        <f t="shared" si="28"/>
        <v>L2</v>
      </c>
      <c r="J34" s="669">
        <v>1100</v>
      </c>
      <c r="K34" s="670" t="s">
        <v>394</v>
      </c>
      <c r="L34" s="667" t="s">
        <v>12</v>
      </c>
      <c r="M34" s="668" t="s">
        <v>12</v>
      </c>
      <c r="N34" s="671" t="s">
        <v>978</v>
      </c>
      <c r="O34" s="672" t="s">
        <v>979</v>
      </c>
      <c r="P34" s="106">
        <v>12</v>
      </c>
      <c r="Q34" s="110"/>
      <c r="S34" s="133">
        <f>IF($H$5&gt;10,1,0)</f>
        <v>1</v>
      </c>
      <c r="T34" s="126">
        <f t="shared" si="29"/>
        <v>0</v>
      </c>
      <c r="U34" s="126" t="str">
        <f>IF($H$8=1,"L2","L3")</f>
        <v>L2</v>
      </c>
      <c r="X34" s="133">
        <f>IF(T34=0,0,IF($H$8=1,(H34+J34)," "))</f>
        <v>0</v>
      </c>
      <c r="Y34" s="133">
        <f>IF(T34=0,0,IF($H$8=1," ",(H34+J34)))</f>
        <v>0</v>
      </c>
      <c r="AB34" s="133">
        <f>IF($H$8=1,IF(T34=0,0,IF(G34="G",H34,0))," ")</f>
        <v>0</v>
      </c>
      <c r="AC34" s="133">
        <f>IF($H$8=1,IF(T34=0,0,IF(K34="G",J34,0))," ")</f>
        <v>0</v>
      </c>
      <c r="AD34" s="133" t="str">
        <f>IF($H$8=1," ",IF(T34=0,0,IF(G34="G",H34,0)))</f>
        <v xml:space="preserve"> </v>
      </c>
      <c r="AE34" s="133" t="str">
        <f>IF($H$8=1," ",IF(T34=0,0,IF(K34="G",J34,0)))</f>
        <v xml:space="preserve"> </v>
      </c>
      <c r="AH34" s="126">
        <f>IF($H$8=1,IF(T34=0,0,IF(G34="D",H34,0))," ")</f>
        <v>0</v>
      </c>
      <c r="AI34" s="126">
        <f>IF($H$8=1,IF(T34=0,0,IF(K34="D",J34,0))," ")</f>
        <v>0</v>
      </c>
      <c r="AJ34" s="126" t="str">
        <f>IF($H$8=1," ",IF(T34=0,0,IF(G34="D",H34,0)))</f>
        <v xml:space="preserve"> </v>
      </c>
      <c r="AK34" s="126" t="str">
        <f>IF($H$8=1," ",IF(T34=0,0,IF(K34="D",J34,0)))</f>
        <v xml:space="preserve"> </v>
      </c>
      <c r="AN34" s="126">
        <f>IF($H$8=1,IF(T34=0,0,IF(G34="C",H34,0))," ")</f>
        <v>0</v>
      </c>
      <c r="AO34" s="126">
        <f>IF($H$8=1,IF(T34=0,0,IF(K34="C",J34,0))," ")</f>
        <v>0</v>
      </c>
      <c r="AP34" s="126" t="str">
        <f>IF($H$8=1," ",IF(T34=0,0,IF(G34="C",H34,0)))</f>
        <v xml:space="preserve"> </v>
      </c>
      <c r="AQ34" s="126" t="str">
        <f>IF($H$8=1," ",IF(T34=0,0,IF(K34="C",J34,0)))</f>
        <v xml:space="preserve"> </v>
      </c>
      <c r="AR34" s="133">
        <f t="shared" si="26"/>
        <v>0</v>
      </c>
      <c r="AS34" s="133">
        <f t="shared" si="27"/>
        <v>0</v>
      </c>
      <c r="AV34" s="133">
        <f>IF(T34=0,0,IF($H$8=1,IF(G34="M",H34,0)," "))</f>
        <v>0</v>
      </c>
      <c r="AW34" s="133">
        <f>IF(T34=0,0,IF($H$8=1,IF(K34="M",J34,0)," "))</f>
        <v>0</v>
      </c>
      <c r="AX34" s="133">
        <f>IF(T34=0,0,IF($H$8=1," ",IF(G34="M",H34,0)))</f>
        <v>0</v>
      </c>
      <c r="AY34" s="133">
        <f>IF(T34=0,0,IF($H$8=1," ",IF(K34="M",J34,0)))</f>
        <v>0</v>
      </c>
      <c r="BA34" s="133"/>
      <c r="BB34" s="133"/>
      <c r="BC34" s="133">
        <f>IF(T34=0,0,IF($H$8=1,IF(G34="K",H34,0)," "))</f>
        <v>0</v>
      </c>
      <c r="BD34" s="133">
        <f>IF(T34=0,0,IF($H$8=1,IF(K34="K",J34,0)," "))</f>
        <v>0</v>
      </c>
      <c r="BE34" s="133">
        <f>IF(T34=0,0,IF($H$8=1," ",IF(G34="K",H34,0)))</f>
        <v>0</v>
      </c>
      <c r="BF34" s="133">
        <f>IF(T34=0,0,IF($H$8=1," ",IF(K34="K",J34,0)))</f>
        <v>0</v>
      </c>
      <c r="BG34" s="126"/>
      <c r="BI34" s="133">
        <f>IF(T34=0,0,IF(E34="N",H34,0))</f>
        <v>0</v>
      </c>
      <c r="BJ34" s="133">
        <f>IF(T34=0,0,IF(M34="N",J34,0))</f>
        <v>0</v>
      </c>
      <c r="BK34" s="133"/>
      <c r="BL34" s="133"/>
      <c r="BM34" s="133">
        <f>IF(T34=0,0,IF(E34="N",H34,0))</f>
        <v>0</v>
      </c>
      <c r="BN34" s="133">
        <f>IF(T34=0,0,IF(M34="N",J34,0))</f>
        <v>0</v>
      </c>
      <c r="BO34" s="133"/>
      <c r="BP34" s="133"/>
      <c r="BQ34" s="133"/>
      <c r="BR34" s="133"/>
      <c r="BS34" s="133">
        <f>IF(T34=0,0,IF(E34="N",H34,0))</f>
        <v>0</v>
      </c>
      <c r="BT34" s="133">
        <f>IF(T34=0,0,IF(M34="N",J34,0))</f>
        <v>0</v>
      </c>
      <c r="BU34" s="133"/>
      <c r="BV34" s="133"/>
      <c r="BW34" s="133"/>
      <c r="BY34" s="130"/>
      <c r="BZ34" s="130"/>
      <c r="CA34" s="131">
        <v>28</v>
      </c>
      <c r="CB34" s="129">
        <f>IF(SUM(CB$7:CB33)=0,CC34,0)</f>
        <v>0</v>
      </c>
      <c r="CC34" s="319">
        <v>0</v>
      </c>
      <c r="CD34" s="133" t="s">
        <v>579</v>
      </c>
      <c r="CE34" s="133"/>
      <c r="CF34" s="516" t="b">
        <f>IF(D4=X11,CF28,CF32)</f>
        <v>0</v>
      </c>
      <c r="CG34" s="516"/>
      <c r="CH34" s="132"/>
      <c r="CI34" s="132"/>
      <c r="CJ34" s="133"/>
      <c r="CK34" s="133"/>
      <c r="CL34" s="133"/>
      <c r="CM34" s="133"/>
      <c r="CN34" s="133"/>
      <c r="CO34" s="133"/>
      <c r="CP34" s="133"/>
      <c r="CQ34" s="32"/>
      <c r="CX34" s="62">
        <f t="shared" si="21"/>
        <v>410.00000999999997</v>
      </c>
      <c r="CY34" s="135" t="e">
        <f t="shared" si="22"/>
        <v>#VALUE!</v>
      </c>
      <c r="CZ34" s="135" t="e">
        <f t="shared" si="30"/>
        <v>#VALUE!</v>
      </c>
      <c r="DA34" s="62">
        <f t="shared" si="8"/>
        <v>460</v>
      </c>
      <c r="DB34" s="62">
        <f t="shared" si="31"/>
        <v>460</v>
      </c>
      <c r="DC34" s="62" t="s">
        <v>109</v>
      </c>
      <c r="DD34" s="62">
        <v>15</v>
      </c>
      <c r="DE34" s="62">
        <v>2</v>
      </c>
      <c r="DF34" s="62"/>
      <c r="DG34" s="62"/>
      <c r="DH34" s="62"/>
      <c r="DI34" s="27"/>
      <c r="DJ34" s="27"/>
      <c r="DK34" s="27"/>
      <c r="DL34" s="27"/>
      <c r="DN34" s="22"/>
      <c r="DO34" s="22"/>
      <c r="DP34" s="22"/>
      <c r="DV34" s="57">
        <f t="shared" si="2"/>
        <v>1000.00001</v>
      </c>
      <c r="DW34" s="57">
        <v>1200</v>
      </c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J34" s="276">
        <v>2</v>
      </c>
      <c r="EK34" s="276">
        <f>IF(EL34&gt;0,2,0)</f>
        <v>2</v>
      </c>
      <c r="EL34" s="276">
        <f t="shared" ref="EL34:EL42" si="38">IF(EK$28=2,EM34,IF(EK$28=3,EN34,IF(EK$28=4,EO34,"ERR")))</f>
        <v>4</v>
      </c>
      <c r="EM34" s="276">
        <f>IF(SUM(EM$33:EM33)=0,IF(EP34&gt;1.799999,2,0),0)</f>
        <v>0</v>
      </c>
      <c r="EN34" s="276">
        <f>IF(SUM(EN$33:EN33)=0,IF(EP34&gt;2.799999,3,0),0)</f>
        <v>3</v>
      </c>
      <c r="EO34" s="62">
        <f>IF(SUM(EO$33:EO33)=0,IF(EP34&gt;3.799999,4,0),0)</f>
        <v>4</v>
      </c>
      <c r="EP34" s="64">
        <f t="shared" si="32"/>
        <v>4.2051282051282053</v>
      </c>
      <c r="EQ34" s="62">
        <f t="shared" si="33"/>
        <v>5.0700000000000002E-2</v>
      </c>
      <c r="ER34" s="64">
        <f t="shared" si="34"/>
        <v>0.21320000000000003</v>
      </c>
      <c r="ES34" s="62">
        <v>0.75</v>
      </c>
      <c r="ET34" s="22"/>
      <c r="EU34" s="22"/>
      <c r="EV34" s="22"/>
      <c r="EW34" s="22"/>
      <c r="FG34" s="347" t="s">
        <v>256</v>
      </c>
      <c r="FH34" s="377">
        <f>IF(D4&lt;&gt;X11,0,H19)</f>
        <v>0</v>
      </c>
      <c r="FI34" s="375"/>
      <c r="FJ34" s="378">
        <f>IF(D4="TRANSFORMER (3-PHASE)",0,IF(H8&lt;&gt;1,0,FH34))</f>
        <v>0</v>
      </c>
      <c r="FK34" s="375"/>
      <c r="FL34" s="375"/>
      <c r="FM34" s="378">
        <f>IF(D4="TRANSFORMER (1-PHASE)",0,IF(H8&lt;&gt;1,FH34,0))</f>
        <v>0</v>
      </c>
      <c r="FN34" s="376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K34" s="276">
        <v>2</v>
      </c>
      <c r="GL34" s="276">
        <f>IF(GM34&gt;0,2,0)</f>
        <v>0</v>
      </c>
      <c r="GM34" s="276">
        <f t="shared" ref="GM34:GM42" si="39">IF(GL$28=2,GN34,IF(GL$28=3,GO34,IF(GL$28=4,GP34,"ERR")))</f>
        <v>0</v>
      </c>
      <c r="GN34" s="276">
        <f>IF(SUM(GN$33:GN33)=0,IF(GQ34&gt;1.799999,2,0),0)</f>
        <v>0</v>
      </c>
      <c r="GO34" s="276">
        <f>IF(SUM(GO$33:GO33)=0,IF(GQ34&gt;2.799999,3,0),0)</f>
        <v>3</v>
      </c>
      <c r="GP34" s="62">
        <f>IF(SUM(GP$33:GP33)=0,IF(GQ34&gt;3.799999,4,0),0)</f>
        <v>0</v>
      </c>
      <c r="GQ34" s="64">
        <f t="shared" si="35"/>
        <v>3.2589743589743589</v>
      </c>
      <c r="GR34" s="62">
        <f t="shared" si="36"/>
        <v>5.0700000000000002E-2</v>
      </c>
      <c r="GS34" s="64">
        <f t="shared" si="37"/>
        <v>0.16523000000000002</v>
      </c>
      <c r="GT34" s="62">
        <v>0.75</v>
      </c>
      <c r="GU34" s="22"/>
      <c r="GV34" s="22"/>
      <c r="GW34" s="22"/>
      <c r="GX34" s="22"/>
    </row>
    <row r="35" spans="1:209" ht="12" customHeight="1">
      <c r="A35" s="92"/>
      <c r="B35" s="106">
        <v>13</v>
      </c>
      <c r="C35" s="674"/>
      <c r="D35" s="673" t="s">
        <v>981</v>
      </c>
      <c r="E35" s="668" t="s">
        <v>12</v>
      </c>
      <c r="F35" s="667" t="s">
        <v>12</v>
      </c>
      <c r="G35" s="670" t="s">
        <v>394</v>
      </c>
      <c r="H35" s="669"/>
      <c r="I35" s="108" t="str">
        <f t="shared" si="28"/>
        <v>L1</v>
      </c>
      <c r="J35" s="669">
        <v>1100</v>
      </c>
      <c r="K35" s="670" t="s">
        <v>394</v>
      </c>
      <c r="L35" s="667" t="s">
        <v>12</v>
      </c>
      <c r="M35" s="668" t="s">
        <v>12</v>
      </c>
      <c r="N35" s="671" t="s">
        <v>978</v>
      </c>
      <c r="O35" s="672" t="s">
        <v>979</v>
      </c>
      <c r="P35" s="106">
        <v>14</v>
      </c>
      <c r="Q35" s="110"/>
      <c r="S35" s="133">
        <f>IF($H$5&gt;12,1,0)</f>
        <v>1</v>
      </c>
      <c r="T35" s="126">
        <f t="shared" si="29"/>
        <v>0</v>
      </c>
      <c r="U35" s="126" t="str">
        <f>IF($H$8=1,"L1","L1")</f>
        <v>L1</v>
      </c>
      <c r="W35" s="133">
        <f>IF(T35=0,0,(H35+J35))</f>
        <v>0</v>
      </c>
      <c r="Z35" s="133">
        <f>IF(T35=0,0,IF(G35="G",H35,0))</f>
        <v>0</v>
      </c>
      <c r="AA35" s="133">
        <f>IF(T35=0,0,IF(K35="G",J35,0))</f>
        <v>0</v>
      </c>
      <c r="AF35" s="126">
        <f>IF(T35=0,0,IF(G35="D",H35,0))</f>
        <v>0</v>
      </c>
      <c r="AG35" s="126">
        <f>IF(T35=0,0,IF(K35="D",J35,0))</f>
        <v>0</v>
      </c>
      <c r="AL35" s="126">
        <f>IF(T35=0,0,IF(G35="C",H35,0))</f>
        <v>0</v>
      </c>
      <c r="AM35" s="126">
        <f>IF(T35=0,0,IF(K35="C",J35,0))</f>
        <v>0</v>
      </c>
      <c r="AR35" s="133">
        <f t="shared" si="26"/>
        <v>0</v>
      </c>
      <c r="AS35" s="133">
        <f t="shared" si="27"/>
        <v>0</v>
      </c>
      <c r="AT35" s="133">
        <f>IF(T35=0,0,IF(G35="M",H35,0))</f>
        <v>0</v>
      </c>
      <c r="AU35" s="133">
        <f>IF(T35=0,0,IF(K35="M",J35,0))</f>
        <v>0</v>
      </c>
      <c r="BA35" s="133">
        <f>IF(T35=0,0,IF(G35="K",H35,0))</f>
        <v>0</v>
      </c>
      <c r="BB35" s="133">
        <f>IF(T35=0,0,IF(K35="K",J35,0))</f>
        <v>0</v>
      </c>
      <c r="BC35" s="133"/>
      <c r="BD35" s="133"/>
      <c r="BE35" s="133"/>
      <c r="BF35" s="133"/>
      <c r="BG35" s="126">
        <f>IF(T35=0,0,IF(E35="N",H35,0))</f>
        <v>0</v>
      </c>
      <c r="BH35" s="133">
        <f>IF(T35=0,0,IF(M35="N",J35,0))</f>
        <v>0</v>
      </c>
      <c r="BK35" s="133">
        <f>IF(T35=0,0,IF(E35="N",H35,0))</f>
        <v>0</v>
      </c>
      <c r="BL35" s="133">
        <f>IF(T35=0,0,IF(M35="N",J35,0))</f>
        <v>0</v>
      </c>
      <c r="BM35" s="133"/>
      <c r="BN35" s="133"/>
      <c r="BO35" s="133">
        <f>IF(T35=0,0,IF(E35="N",H35,0))</f>
        <v>0</v>
      </c>
      <c r="BP35" s="133">
        <f>IF(T35=0,0,IF(M35="N",J35,0))</f>
        <v>0</v>
      </c>
      <c r="BQ35" s="133"/>
      <c r="BR35" s="133"/>
      <c r="BS35" s="133"/>
      <c r="BT35" s="133"/>
      <c r="BU35" s="133"/>
      <c r="BV35" s="133"/>
      <c r="BW35" s="133"/>
      <c r="BY35" s="130"/>
      <c r="BZ35" s="130"/>
      <c r="CA35" s="131">
        <v>29</v>
      </c>
      <c r="CB35" s="129">
        <f>IF(SUM(CB$7:CB34)=0,CC35,0)</f>
        <v>0</v>
      </c>
      <c r="CC35" s="319">
        <v>0</v>
      </c>
      <c r="CD35" s="133" t="s">
        <v>206</v>
      </c>
      <c r="CE35" s="133"/>
      <c r="CF35" s="133"/>
      <c r="CG35" s="133"/>
      <c r="CH35" s="132"/>
      <c r="CI35" s="132"/>
      <c r="CJ35" s="133"/>
      <c r="CK35" s="133"/>
      <c r="CL35" s="133"/>
      <c r="CM35" s="133"/>
      <c r="CN35" s="133"/>
      <c r="CO35" s="133"/>
      <c r="CP35" s="133"/>
      <c r="CQ35" s="32"/>
      <c r="CX35" s="62">
        <f t="shared" si="21"/>
        <v>460.00000999999997</v>
      </c>
      <c r="CY35" s="135" t="e">
        <f t="shared" si="22"/>
        <v>#VALUE!</v>
      </c>
      <c r="CZ35" s="135" t="e">
        <f t="shared" si="30"/>
        <v>#VALUE!</v>
      </c>
      <c r="DA35" s="62">
        <f t="shared" si="8"/>
        <v>500</v>
      </c>
      <c r="DB35" s="62">
        <f t="shared" si="31"/>
        <v>500</v>
      </c>
      <c r="DC35" s="62" t="s">
        <v>112</v>
      </c>
      <c r="DD35" s="62">
        <v>16</v>
      </c>
      <c r="DE35" s="62">
        <v>2</v>
      </c>
      <c r="DF35" s="62"/>
      <c r="DG35" s="62"/>
      <c r="DH35" s="62"/>
      <c r="DI35" s="27"/>
      <c r="DJ35" s="27"/>
      <c r="DK35" s="27"/>
      <c r="DL35" s="27"/>
      <c r="DV35" s="22"/>
      <c r="DW35" s="22"/>
      <c r="DY35" s="22"/>
      <c r="DZ35" s="22"/>
      <c r="EA35" s="22"/>
      <c r="EB35" s="22"/>
      <c r="EC35" s="612"/>
      <c r="ED35" s="612" t="s">
        <v>55</v>
      </c>
      <c r="EE35" s="612" t="s">
        <v>56</v>
      </c>
      <c r="EF35" s="612" t="s">
        <v>57</v>
      </c>
      <c r="EG35" s="22"/>
      <c r="EH35" s="22"/>
      <c r="EJ35" s="276">
        <v>3</v>
      </c>
      <c r="EK35" s="276">
        <f>IF(EL35&gt;0,3,0)</f>
        <v>0</v>
      </c>
      <c r="EL35" s="276">
        <f t="shared" si="38"/>
        <v>0</v>
      </c>
      <c r="EM35" s="276">
        <f>IF(SUM(EM$33:EM34)=0,IF(EP35&gt;1.799999,2,0),0)</f>
        <v>0</v>
      </c>
      <c r="EN35" s="276">
        <f>IF(SUM(EN$33:EN34)=0,IF(EP35&gt;2.799999,3,0),0)</f>
        <v>0</v>
      </c>
      <c r="EO35" s="62">
        <f>IF(SUM(EO$33:EO34)=0,IF(EP35&gt;3.799999,4,0),0)</f>
        <v>0</v>
      </c>
      <c r="EP35" s="64">
        <f t="shared" si="32"/>
        <v>6.8165680473372783</v>
      </c>
      <c r="EQ35" s="62">
        <f t="shared" si="33"/>
        <v>5.0700000000000002E-2</v>
      </c>
      <c r="ER35" s="64">
        <f t="shared" si="34"/>
        <v>0.34560000000000002</v>
      </c>
      <c r="ES35" s="62">
        <v>1</v>
      </c>
      <c r="ET35" s="22"/>
      <c r="EU35" s="22"/>
      <c r="EV35" s="22"/>
      <c r="EW35" s="22"/>
      <c r="FG35" s="347" t="s">
        <v>26</v>
      </c>
      <c r="FH35" s="374">
        <f>IF(D4&lt;&gt;X11,0,'S-Calcs'!V42)</f>
        <v>0</v>
      </c>
      <c r="FI35" s="375"/>
      <c r="FJ35" s="375">
        <f>IF(D4="TRANSFORMER (3-PHASE)",0,IF(H8&lt;&gt;1,0,FH35))</f>
        <v>0</v>
      </c>
      <c r="FK35" s="375"/>
      <c r="FL35" s="375"/>
      <c r="FM35" s="375">
        <f>IF(D4="TRANSFORMER (1-PHASE)",0,IF(H8&lt;&gt;1,FH35,0))</f>
        <v>0</v>
      </c>
      <c r="FN35" s="376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K35" s="276">
        <v>3</v>
      </c>
      <c r="GL35" s="276">
        <f>IF(GM35&gt;0,3,0)</f>
        <v>0</v>
      </c>
      <c r="GM35" s="276">
        <f t="shared" si="39"/>
        <v>0</v>
      </c>
      <c r="GN35" s="276">
        <f>IF(SUM(GN$33:GN34)=0,IF(GQ35&gt;1.799999,2,0),0)</f>
        <v>0</v>
      </c>
      <c r="GO35" s="276">
        <f>IF(SUM(GO$33:GO34)=0,IF(GQ35&gt;2.799999,3,0),0)</f>
        <v>0</v>
      </c>
      <c r="GP35" s="62">
        <f>IF(SUM(GP$33:GP34)=0,IF(GQ35&gt;3.799999,4,0),0)</f>
        <v>4</v>
      </c>
      <c r="GQ35" s="64">
        <f t="shared" si="35"/>
        <v>5.2828402366863907</v>
      </c>
      <c r="GR35" s="62">
        <f t="shared" si="36"/>
        <v>5.0700000000000002E-2</v>
      </c>
      <c r="GS35" s="64">
        <f t="shared" si="37"/>
        <v>0.26784000000000002</v>
      </c>
      <c r="GT35" s="62">
        <v>1</v>
      </c>
      <c r="GU35" s="22"/>
      <c r="GV35" s="22"/>
      <c r="GW35" s="22"/>
      <c r="GX35" s="22"/>
    </row>
    <row r="36" spans="1:209" ht="12" customHeight="1">
      <c r="A36" s="92"/>
      <c r="B36" s="106">
        <v>15</v>
      </c>
      <c r="C36" s="674"/>
      <c r="D36" s="671"/>
      <c r="E36" s="668" t="s">
        <v>12</v>
      </c>
      <c r="F36" s="667" t="s">
        <v>12</v>
      </c>
      <c r="G36" s="670" t="s">
        <v>394</v>
      </c>
      <c r="H36" s="669"/>
      <c r="I36" s="108" t="str">
        <f t="shared" si="28"/>
        <v>L2</v>
      </c>
      <c r="J36" s="669">
        <v>1100</v>
      </c>
      <c r="K36" s="670" t="s">
        <v>394</v>
      </c>
      <c r="L36" s="667" t="s">
        <v>12</v>
      </c>
      <c r="M36" s="668" t="s">
        <v>12</v>
      </c>
      <c r="N36" s="671" t="s">
        <v>978</v>
      </c>
      <c r="O36" s="672" t="s">
        <v>979</v>
      </c>
      <c r="P36" s="106">
        <v>16</v>
      </c>
      <c r="Q36" s="110"/>
      <c r="S36" s="133">
        <f>IF($H$5&gt;14,1,0)</f>
        <v>1</v>
      </c>
      <c r="T36" s="126">
        <f t="shared" si="29"/>
        <v>0</v>
      </c>
      <c r="U36" s="126" t="str">
        <f>IF($H$8=1,"L2","L2")</f>
        <v>L2</v>
      </c>
      <c r="X36" s="133">
        <f>IF(T36=0,0,(H36+J36))</f>
        <v>0</v>
      </c>
      <c r="AB36" s="133">
        <f>IF(T36=0,0,IF(G36="G",H36,0))</f>
        <v>0</v>
      </c>
      <c r="AC36" s="133">
        <f>IF(T36=0,0,IF(K36="G",J36,0))</f>
        <v>0</v>
      </c>
      <c r="AH36" s="126">
        <f>IF(T36=0,0,IF(G36="D",H36,0))</f>
        <v>0</v>
      </c>
      <c r="AI36" s="126">
        <f>IF(T36=0,0,IF(K36="D",J36,0))</f>
        <v>0</v>
      </c>
      <c r="AN36" s="126">
        <f>IF(T36=0,0,IF(G36="C",H36,0))</f>
        <v>0</v>
      </c>
      <c r="AO36" s="126">
        <f>IF(T36=0,0,IF(K36="C",J36,0))</f>
        <v>0</v>
      </c>
      <c r="AR36" s="133">
        <f t="shared" si="26"/>
        <v>0</v>
      </c>
      <c r="AS36" s="133">
        <f t="shared" si="27"/>
        <v>0</v>
      </c>
      <c r="AV36" s="133">
        <f>IF(T36=0,0,IF(G36="M",H36,0))</f>
        <v>0</v>
      </c>
      <c r="AW36" s="133">
        <f>IF(T36=0,0,IF(K36="M",J36,0))</f>
        <v>0</v>
      </c>
      <c r="BA36" s="133"/>
      <c r="BB36" s="133"/>
      <c r="BC36" s="133">
        <f>IF(T36=0,0,IF(G36="K",H36,0))</f>
        <v>0</v>
      </c>
      <c r="BD36" s="133">
        <f>IF(T36=0,0,IF(K36="K",J36,0))</f>
        <v>0</v>
      </c>
      <c r="BE36" s="133"/>
      <c r="BF36" s="133"/>
      <c r="BK36" s="133"/>
      <c r="BL36" s="133"/>
      <c r="BM36" s="133">
        <f>IF(T36=0,0,IF(E36="N",H36,0))</f>
        <v>0</v>
      </c>
      <c r="BN36" s="133">
        <f>IF(T36=0,0,IF(M36="N",J36,0))</f>
        <v>0</v>
      </c>
      <c r="BO36" s="133"/>
      <c r="BP36" s="133"/>
      <c r="BQ36" s="133">
        <f>IF(T36=0,0,IF(E36="N",H36,0))</f>
        <v>0</v>
      </c>
      <c r="BR36" s="133">
        <f>IF(T36=0,0,IF(M36="N",J36,0))</f>
        <v>0</v>
      </c>
      <c r="BS36" s="133"/>
      <c r="BT36" s="133"/>
      <c r="BU36" s="133"/>
      <c r="BV36" s="133"/>
      <c r="BW36" s="133"/>
      <c r="BY36" s="130"/>
      <c r="BZ36" s="130"/>
      <c r="CA36" s="131">
        <v>30</v>
      </c>
      <c r="CB36" s="129">
        <f>IF(SUM(CB$7:CB35)=0,CC36,0)</f>
        <v>0</v>
      </c>
      <c r="CC36" s="319">
        <v>0</v>
      </c>
      <c r="CD36" s="133" t="s">
        <v>207</v>
      </c>
      <c r="CE36" s="133"/>
      <c r="CF36" s="133">
        <f>IF(AND(D4="TRANSFORMER (3-PHASE)",Input!O15="1-PHASE"),1,0)</f>
        <v>0</v>
      </c>
      <c r="CG36" s="133"/>
      <c r="CH36" s="132"/>
      <c r="CI36" s="132"/>
      <c r="CJ36" s="127">
        <f>H8</f>
        <v>1</v>
      </c>
      <c r="CK36" s="133"/>
      <c r="CL36" s="133"/>
      <c r="CM36" s="133"/>
      <c r="CN36" s="133"/>
      <c r="CO36" s="133"/>
      <c r="CP36" s="133"/>
      <c r="CQ36" s="32"/>
      <c r="CX36" s="62">
        <f t="shared" si="21"/>
        <v>500.00000999999997</v>
      </c>
      <c r="CY36" s="135" t="e">
        <f t="shared" si="22"/>
        <v>#VALUE!</v>
      </c>
      <c r="CZ36" s="135" t="e">
        <f t="shared" si="30"/>
        <v>#VALUE!</v>
      </c>
      <c r="DA36" s="62">
        <f t="shared" si="8"/>
        <v>540</v>
      </c>
      <c r="DB36" s="62">
        <f t="shared" si="31"/>
        <v>540</v>
      </c>
      <c r="DC36" s="62" t="s">
        <v>114</v>
      </c>
      <c r="DD36" s="62">
        <v>17</v>
      </c>
      <c r="DE36" s="62">
        <v>2</v>
      </c>
      <c r="DF36" s="62"/>
      <c r="DG36" s="62"/>
      <c r="DH36" s="62"/>
      <c r="DI36" s="27"/>
      <c r="DJ36" s="27"/>
      <c r="DK36" s="27"/>
      <c r="DL36" s="27"/>
      <c r="DV36" s="27"/>
      <c r="DW36" s="27"/>
      <c r="DY36" s="22"/>
      <c r="DZ36" s="22"/>
      <c r="EA36" s="22"/>
      <c r="EB36" s="22"/>
      <c r="EC36" s="612"/>
      <c r="ED36" s="612"/>
      <c r="EE36" s="612"/>
      <c r="EF36" s="612"/>
      <c r="EG36" s="22"/>
      <c r="EH36" s="22"/>
      <c r="EJ36" s="276">
        <v>4</v>
      </c>
      <c r="EK36" s="276">
        <f>IF(EL36&gt;0,4,0)</f>
        <v>0</v>
      </c>
      <c r="EL36" s="276">
        <f t="shared" si="38"/>
        <v>0</v>
      </c>
      <c r="EM36" s="276">
        <f>IF(SUM(EM$33:EM35)=0,IF(EP36&gt;1.799999,2,0),0)</f>
        <v>0</v>
      </c>
      <c r="EN36" s="276">
        <f>IF(SUM(EN$33:EN35)=0,IF(EP36&gt;2.799999,3,0),0)</f>
        <v>0</v>
      </c>
      <c r="EO36" s="62">
        <f>IF(SUM(EO$33:EO35)=0,IF(EP36&gt;3.799999,4,0),0)</f>
        <v>0</v>
      </c>
      <c r="EP36" s="64">
        <f t="shared" si="32"/>
        <v>11.80276134122288</v>
      </c>
      <c r="EQ36" s="62">
        <f t="shared" si="33"/>
        <v>5.0700000000000002E-2</v>
      </c>
      <c r="ER36" s="64">
        <f t="shared" si="34"/>
        <v>0.59840000000000004</v>
      </c>
      <c r="ES36" s="62">
        <v>1.25</v>
      </c>
      <c r="ET36" s="22"/>
      <c r="EU36" s="22"/>
      <c r="EV36" s="22"/>
      <c r="EW36" s="22"/>
      <c r="FG36" s="334" t="s">
        <v>193</v>
      </c>
      <c r="FH36" s="358"/>
      <c r="FI36" s="337">
        <f>MAX(FI31:FI35)</f>
        <v>0</v>
      </c>
      <c r="FJ36" s="337">
        <f>ROUND(MAX(FJ31:FJ35),1)</f>
        <v>0</v>
      </c>
      <c r="FK36" s="337"/>
      <c r="FL36" s="337">
        <f>MAX(FL31:FL35)</f>
        <v>0</v>
      </c>
      <c r="FM36" s="337">
        <f>MAX(FM31:FM35)</f>
        <v>0</v>
      </c>
      <c r="FN36" s="337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K36" s="276">
        <v>4</v>
      </c>
      <c r="GL36" s="276">
        <f>IF(GM36&gt;0,4,0)</f>
        <v>0</v>
      </c>
      <c r="GM36" s="276">
        <f t="shared" si="39"/>
        <v>0</v>
      </c>
      <c r="GN36" s="276">
        <f>IF(SUM(GN$33:GN35)=0,IF(GQ36&gt;1.799999,2,0),0)</f>
        <v>0</v>
      </c>
      <c r="GO36" s="276">
        <f>IF(SUM(GO$33:GO35)=0,IF(GQ36&gt;2.799999,3,0),0)</f>
        <v>0</v>
      </c>
      <c r="GP36" s="62">
        <f>IF(SUM(GP$33:GP35)=0,IF(GQ36&gt;3.799999,4,0),0)</f>
        <v>0</v>
      </c>
      <c r="GQ36" s="64">
        <f t="shared" si="35"/>
        <v>9.1471400394477307</v>
      </c>
      <c r="GR36" s="62">
        <f t="shared" si="36"/>
        <v>5.0700000000000002E-2</v>
      </c>
      <c r="GS36" s="64">
        <f t="shared" si="37"/>
        <v>0.46376000000000001</v>
      </c>
      <c r="GT36" s="62">
        <v>1.25</v>
      </c>
      <c r="GU36" s="22"/>
      <c r="GV36" s="22"/>
      <c r="GW36" s="22"/>
      <c r="GX36" s="22"/>
    </row>
    <row r="37" spans="1:209" ht="12" customHeight="1">
      <c r="A37" s="92"/>
      <c r="B37" s="106">
        <v>17</v>
      </c>
      <c r="C37" s="674"/>
      <c r="D37" s="671"/>
      <c r="E37" s="668" t="s">
        <v>12</v>
      </c>
      <c r="F37" s="667" t="s">
        <v>12</v>
      </c>
      <c r="G37" s="670" t="s">
        <v>394</v>
      </c>
      <c r="H37" s="669"/>
      <c r="I37" s="108" t="str">
        <f t="shared" si="28"/>
        <v>L1</v>
      </c>
      <c r="J37" s="669">
        <v>1100</v>
      </c>
      <c r="K37" s="670" t="s">
        <v>394</v>
      </c>
      <c r="L37" s="667" t="s">
        <v>12</v>
      </c>
      <c r="M37" s="668" t="s">
        <v>12</v>
      </c>
      <c r="N37" s="671" t="s">
        <v>978</v>
      </c>
      <c r="O37" s="672" t="s">
        <v>979</v>
      </c>
      <c r="P37" s="106">
        <v>18</v>
      </c>
      <c r="Q37" s="110"/>
      <c r="S37" s="133">
        <f>IF($H$5&gt;16,1,0)</f>
        <v>1</v>
      </c>
      <c r="T37" s="126">
        <f t="shared" si="29"/>
        <v>0</v>
      </c>
      <c r="U37" s="126" t="str">
        <f>IF($H$8=1,"L1","L3")</f>
        <v>L1</v>
      </c>
      <c r="W37" s="133">
        <f>IF(T37=0,0,IF($H$8=1,(H37+J37)," "))</f>
        <v>0</v>
      </c>
      <c r="Y37" s="133">
        <f>IF(T37=0,0,IF($H$8=1," ",(H37+J37)))</f>
        <v>0</v>
      </c>
      <c r="Z37" s="133">
        <f>IF($H$8=1,IF(T37=0,0,IF(G37="G",H37,0))," ")</f>
        <v>0</v>
      </c>
      <c r="AA37" s="133">
        <f>IF($H$8=1,IF(T37=0,0,IF(K37="G",J37,0))," ")</f>
        <v>0</v>
      </c>
      <c r="AD37" s="133" t="str">
        <f>IF($H$8=1," ",IF(T37=0,0,IF(G37="G",H37,0)))</f>
        <v xml:space="preserve"> </v>
      </c>
      <c r="AE37" s="133" t="str">
        <f>IF($H$8=1," ",IF(T37=0,0,IF(K37="G",J37,0)))</f>
        <v xml:space="preserve"> </v>
      </c>
      <c r="AF37" s="126">
        <f>IF($H$8=1,IF(T37=0,0,IF(G37="D",H37,0))," ")</f>
        <v>0</v>
      </c>
      <c r="AG37" s="126">
        <f>IF($H$8=1,IF(T37=0,0,IF(K37="D",J37,0))," ")</f>
        <v>0</v>
      </c>
      <c r="AJ37" s="126" t="str">
        <f>IF($H$8=1," ",IF(T37=0,0,IF(G37="D",H37,0)))</f>
        <v xml:space="preserve"> </v>
      </c>
      <c r="AK37" s="126" t="str">
        <f>IF($H$8=1," ",IF(T37=0,0,IF(K37="D",J37,0)))</f>
        <v xml:space="preserve"> </v>
      </c>
      <c r="AL37" s="126">
        <f>IF($H$8=1,IF(T37=0,0,IF(G37="C",H37,0))," ")</f>
        <v>0</v>
      </c>
      <c r="AM37" s="126">
        <f>IF($H$8=1,IF(T37=0,0,IF(K37="C",J37,0))," ")</f>
        <v>0</v>
      </c>
      <c r="AP37" s="126" t="str">
        <f>IF($H$8=1," ",IF(T37=0,0,IF(G37="C",H37,0)))</f>
        <v xml:space="preserve"> </v>
      </c>
      <c r="AQ37" s="126" t="str">
        <f>IF($H$8=1," ",IF(T37=0,0,IF(K37="C",J37,0)))</f>
        <v xml:space="preserve"> </v>
      </c>
      <c r="AR37" s="133">
        <f t="shared" si="26"/>
        <v>0</v>
      </c>
      <c r="AS37" s="133">
        <f t="shared" si="27"/>
        <v>0</v>
      </c>
      <c r="AT37" s="133">
        <f>IF(T37=0,0,IF($H$8=1,IF(G37="M",H37,0)," "))</f>
        <v>0</v>
      </c>
      <c r="AU37" s="133">
        <f>IF(T37=0,0,IF($H$8=1,IF(K37="M",J37,0)," "))</f>
        <v>0</v>
      </c>
      <c r="AX37" s="133">
        <f>IF(T37=0,0,IF($H$8=1," ",IF(G37="M",H37,0)))</f>
        <v>0</v>
      </c>
      <c r="AY37" s="133">
        <f>IF(T37=0,0,IF($H$8=1," ",IF(K37="M",J37,0)))</f>
        <v>0</v>
      </c>
      <c r="BA37" s="133">
        <f>IF(T37=0,0,IF($H$8=1,IF(G37="K",H37,0)," "))</f>
        <v>0</v>
      </c>
      <c r="BB37" s="133">
        <f>IF(T37=0,0,IF($H$8=1,IF(K37="K",J37,0)," "))</f>
        <v>0</v>
      </c>
      <c r="BC37" s="133"/>
      <c r="BD37" s="133"/>
      <c r="BE37" s="133">
        <f>IF(T37=0,0,IF($H$8=1," ",IF(G37="K",H37,0)))</f>
        <v>0</v>
      </c>
      <c r="BF37" s="133">
        <f>IF(T37=0,0,IF($H$8=1," ",IF(K37="K",J37,0)))</f>
        <v>0</v>
      </c>
      <c r="BG37" s="126"/>
      <c r="BI37" s="133">
        <f>IF(T37=0,0,IF(E37="N",H37,0))</f>
        <v>0</v>
      </c>
      <c r="BJ37" s="133">
        <f>IF(T37=0,0,IF(M37="N",J37,0))</f>
        <v>0</v>
      </c>
      <c r="BK37" s="133">
        <f>IF(T37=0,0,IF(E37="N",H37,0))</f>
        <v>0</v>
      </c>
      <c r="BL37" s="133">
        <f>IF(T37=0,0,IF(M37="N",J37,0))</f>
        <v>0</v>
      </c>
      <c r="BM37" s="133"/>
      <c r="BN37" s="133"/>
      <c r="BO37" s="133"/>
      <c r="BP37" s="133"/>
      <c r="BQ37" s="133"/>
      <c r="BR37" s="133"/>
      <c r="BS37" s="133">
        <f>IF(T37=0,0,IF(E37="N",H37,0))</f>
        <v>0</v>
      </c>
      <c r="BT37" s="133">
        <f>IF(T37=0,0,IF(M37="N",J37,0))</f>
        <v>0</v>
      </c>
      <c r="BU37" s="133"/>
      <c r="BV37" s="133"/>
      <c r="BW37" s="133"/>
      <c r="BY37" s="130"/>
      <c r="BZ37" s="130"/>
      <c r="CA37" s="131">
        <v>31</v>
      </c>
      <c r="CB37" s="129">
        <f>IF(SUM(CB$7:CB36)=0,CC37,0)</f>
        <v>0</v>
      </c>
      <c r="CC37" s="319">
        <v>0</v>
      </c>
      <c r="CD37" s="133" t="s">
        <v>208</v>
      </c>
      <c r="CE37" s="133"/>
      <c r="CF37" s="133" t="s">
        <v>788</v>
      </c>
      <c r="CG37" s="133"/>
      <c r="CH37" s="132"/>
      <c r="CI37" s="132"/>
      <c r="CJ37" s="127" t="str">
        <f>J8</f>
        <v>NONE</v>
      </c>
      <c r="CK37" s="133"/>
      <c r="CL37" s="133"/>
      <c r="CM37" s="133"/>
      <c r="CN37" s="133"/>
      <c r="CO37" s="133"/>
      <c r="CP37" s="133"/>
      <c r="CQ37" s="32"/>
      <c r="CX37" s="57">
        <f t="shared" si="21"/>
        <v>540.00000999999997</v>
      </c>
      <c r="CY37" s="333" t="e">
        <f t="shared" si="22"/>
        <v>#VALUE!</v>
      </c>
      <c r="CZ37" s="333" t="e">
        <f t="shared" si="30"/>
        <v>#VALUE!</v>
      </c>
      <c r="DA37" s="57">
        <f t="shared" si="8"/>
        <v>620</v>
      </c>
      <c r="DB37" s="57">
        <f t="shared" si="31"/>
        <v>620</v>
      </c>
      <c r="DC37" s="57" t="s">
        <v>116</v>
      </c>
      <c r="DD37" s="57">
        <v>18</v>
      </c>
      <c r="DE37" s="57">
        <v>2</v>
      </c>
      <c r="DF37" s="57"/>
      <c r="DG37" s="57"/>
      <c r="DH37" s="57"/>
      <c r="DI37" s="27"/>
      <c r="DJ37" s="27"/>
      <c r="DK37" s="27"/>
      <c r="DL37" s="27"/>
      <c r="DV37" s="73" t="s">
        <v>126</v>
      </c>
      <c r="DW37" s="70">
        <f>VLOOKUP(DW6,DV13:DW34,2)</f>
        <v>60</v>
      </c>
      <c r="DX37" s="1">
        <f>VLOOKUP(DX6,DV13:DW34,2)</f>
        <v>60</v>
      </c>
      <c r="DY37" s="22"/>
      <c r="DZ37" s="612">
        <f>DW40</f>
        <v>0</v>
      </c>
      <c r="EA37" s="612">
        <f>IF(D4=X13,DX40,IF(D4=X12,DX40,DW37))</f>
        <v>60</v>
      </c>
      <c r="EB37" s="22"/>
      <c r="EC37" s="612" t="s">
        <v>35</v>
      </c>
      <c r="ED37" s="612">
        <f>EA37</f>
        <v>60</v>
      </c>
      <c r="EE37" s="612">
        <f>EA37</f>
        <v>60</v>
      </c>
      <c r="EF37" s="612"/>
      <c r="EG37" s="22"/>
      <c r="EH37" s="22"/>
      <c r="EJ37" s="276">
        <v>5</v>
      </c>
      <c r="EK37" s="276">
        <f>IF(EL37&gt;0,5,0)</f>
        <v>0</v>
      </c>
      <c r="EL37" s="276">
        <f t="shared" si="38"/>
        <v>0</v>
      </c>
      <c r="EM37" s="276">
        <f>IF(SUM(EM$33:EM36)=0,IF(EP37&gt;1.799999,2,0),0)</f>
        <v>0</v>
      </c>
      <c r="EN37" s="276">
        <f>IF(SUM(EN$33:EN36)=0,IF(EP37&gt;2.799999,3,0),0)</f>
        <v>0</v>
      </c>
      <c r="EO37" s="62">
        <f>IF(SUM(EO$33:EO36)=0,IF(EP37&gt;3.799999,4,0),0)</f>
        <v>0</v>
      </c>
      <c r="EP37" s="64">
        <f t="shared" si="32"/>
        <v>16.063116370808679</v>
      </c>
      <c r="EQ37" s="62">
        <f t="shared" si="33"/>
        <v>5.0700000000000002E-2</v>
      </c>
      <c r="ER37" s="64">
        <f t="shared" si="34"/>
        <v>0.81440000000000001</v>
      </c>
      <c r="ES37" s="62">
        <v>1.5</v>
      </c>
      <c r="ET37" s="22"/>
      <c r="EU37" s="22"/>
      <c r="EV37" s="22"/>
      <c r="EW37" s="22"/>
      <c r="FH37" s="358"/>
      <c r="FI37" s="337"/>
      <c r="FJ37" s="337"/>
      <c r="FK37" s="337"/>
      <c r="FL37" s="337"/>
      <c r="FM37" s="337"/>
      <c r="FN37" s="337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K37" s="276">
        <v>5</v>
      </c>
      <c r="GL37" s="276">
        <f>IF(GM37&gt;0,5,0)</f>
        <v>0</v>
      </c>
      <c r="GM37" s="276">
        <f t="shared" si="39"/>
        <v>0</v>
      </c>
      <c r="GN37" s="276">
        <f>IF(SUM(GN$33:GN36)=0,IF(GQ37&gt;1.799999,2,0),0)</f>
        <v>0</v>
      </c>
      <c r="GO37" s="276">
        <f>IF(SUM(GO$33:GO36)=0,IF(GQ37&gt;2.799999,3,0),0)</f>
        <v>0</v>
      </c>
      <c r="GP37" s="62">
        <f>IF(SUM(GP$33:GP36)=0,IF(GQ37&gt;3.799999,4,0),0)</f>
        <v>0</v>
      </c>
      <c r="GQ37" s="64">
        <f t="shared" si="35"/>
        <v>12.448915187376727</v>
      </c>
      <c r="GR37" s="62">
        <f t="shared" si="36"/>
        <v>5.0700000000000002E-2</v>
      </c>
      <c r="GS37" s="64">
        <f t="shared" si="37"/>
        <v>0.63116000000000005</v>
      </c>
      <c r="GT37" s="62">
        <v>1.5</v>
      </c>
      <c r="GU37" s="22"/>
      <c r="GV37" s="22"/>
      <c r="GW37" s="22"/>
      <c r="GX37" s="22"/>
    </row>
    <row r="38" spans="1:209" ht="12" customHeight="1">
      <c r="A38" s="92"/>
      <c r="B38" s="106">
        <v>19</v>
      </c>
      <c r="C38" s="674"/>
      <c r="D38" s="671"/>
      <c r="E38" s="668" t="s">
        <v>12</v>
      </c>
      <c r="F38" s="667" t="s">
        <v>12</v>
      </c>
      <c r="G38" s="670" t="s">
        <v>394</v>
      </c>
      <c r="H38" s="669"/>
      <c r="I38" s="108" t="str">
        <f t="shared" si="28"/>
        <v>L2</v>
      </c>
      <c r="J38" s="669">
        <v>1100</v>
      </c>
      <c r="K38" s="670" t="s">
        <v>394</v>
      </c>
      <c r="L38" s="667" t="s">
        <v>12</v>
      </c>
      <c r="M38" s="668" t="s">
        <v>12</v>
      </c>
      <c r="N38" s="671" t="s">
        <v>978</v>
      </c>
      <c r="O38" s="672" t="s">
        <v>979</v>
      </c>
      <c r="P38" s="106">
        <v>20</v>
      </c>
      <c r="Q38" s="110"/>
      <c r="S38" s="133">
        <f>IF($H$5&gt;18,1,0)</f>
        <v>1</v>
      </c>
      <c r="T38" s="126">
        <f t="shared" si="29"/>
        <v>0</v>
      </c>
      <c r="U38" s="126" t="str">
        <f>IF($H$8=1,"L2","L1")</f>
        <v>L2</v>
      </c>
      <c r="W38" s="133">
        <f>IF(T38=0,0,IF($H$8=1," ",(H38+J38)))</f>
        <v>0</v>
      </c>
      <c r="X38" s="133">
        <f>IF(T38=0,0,IF($H$8=1,(H38+J38)," "))</f>
        <v>0</v>
      </c>
      <c r="Z38" s="133" t="str">
        <f>IF($H$8=1," ",IF(T38=0,0,IF(G38="G",H38,0)))</f>
        <v xml:space="preserve"> </v>
      </c>
      <c r="AA38" s="133" t="str">
        <f>IF($H$8=1," ",IF(T38=0,0,IF(K38="G",J38,0)))</f>
        <v xml:space="preserve"> </v>
      </c>
      <c r="AB38" s="133">
        <f>IF($H$8=1,IF(T38=0,0,IF(G38="G",H38,0))," ")</f>
        <v>0</v>
      </c>
      <c r="AC38" s="133">
        <f>IF($H$8=1,IF(T38=0,0,IF(K38="G",J38,0))," ")</f>
        <v>0</v>
      </c>
      <c r="AF38" s="126" t="str">
        <f>IF($H$8=1," ",IF(T38=0,0,IF(G38="D",H38,0)))</f>
        <v xml:space="preserve"> </v>
      </c>
      <c r="AG38" s="126" t="str">
        <f>IF($H$8=1," ",IF(T38=0,0,IF(K38="D",J38,0)))</f>
        <v xml:space="preserve"> </v>
      </c>
      <c r="AH38" s="126">
        <f>IF($H$8=1,IF(T38=0,0,IF(G38="D",H38,0))," ")</f>
        <v>0</v>
      </c>
      <c r="AI38" s="126">
        <f>IF($H$8=1,IF(T38=0,0,IF(K38="D",J38,0))," ")</f>
        <v>0</v>
      </c>
      <c r="AL38" s="126" t="str">
        <f>IF($H$8=1," ",IF(T38=0,0,IF(G38="C",H38,0)))</f>
        <v xml:space="preserve"> </v>
      </c>
      <c r="AM38" s="126" t="str">
        <f>IF($H$8=1," ",IF(T38=0,0,IF(K38="C",J38,0)))</f>
        <v xml:space="preserve"> </v>
      </c>
      <c r="AN38" s="126">
        <f>IF($H$8=1,IF(T38=0,0,IF(G38="C",H38,0))," ")</f>
        <v>0</v>
      </c>
      <c r="AO38" s="126">
        <f>IF($H$8=1,IF(T38=0,0,IF(K38="C",J38,0))," ")</f>
        <v>0</v>
      </c>
      <c r="AR38" s="133">
        <f t="shared" si="26"/>
        <v>0</v>
      </c>
      <c r="AS38" s="133">
        <f t="shared" si="27"/>
        <v>0</v>
      </c>
      <c r="AT38" s="133">
        <f>IF(T38=0,0,IF($H$8=1," ",IF(G38="M",H38,0)))</f>
        <v>0</v>
      </c>
      <c r="AU38" s="133">
        <f>IF(T38=0,0,IF($H$8=1," ",IF(K38="M",J38,0)))</f>
        <v>0</v>
      </c>
      <c r="AV38" s="133">
        <f>IF(T38=0,0,IF($H$8=1,IF(G38="M",H38,0)," "))</f>
        <v>0</v>
      </c>
      <c r="AW38" s="133">
        <f>IF(T38=0,0,IF($H$8=1,IF(K38="M",J38,0)," "))</f>
        <v>0</v>
      </c>
      <c r="BA38" s="133">
        <f>IF(T38=0,0,IF($H$8=1," ",IF(G38="K",H38,0)))</f>
        <v>0</v>
      </c>
      <c r="BB38" s="133">
        <f>IF(T38=0,0,IF($H$8=1," ",IF(K38="K",J38,0)))</f>
        <v>0</v>
      </c>
      <c r="BC38" s="133">
        <f>IF(T38=0,0,IF($H$8=1,IF(G38="K",H38,0)," "))</f>
        <v>0</v>
      </c>
      <c r="BD38" s="133">
        <f>IF(T38=0,0,IF($H$8=1,IF(K38="K",J38,0)," "))</f>
        <v>0</v>
      </c>
      <c r="BE38" s="133"/>
      <c r="BF38" s="133"/>
      <c r="BG38" s="126">
        <f>IF(T38=0,0,IF(E38="N",H38,0))</f>
        <v>0</v>
      </c>
      <c r="BH38" s="133">
        <f>IF(T38=0,0,IF(M38="N",J38,0))</f>
        <v>0</v>
      </c>
      <c r="BK38" s="133"/>
      <c r="BL38" s="133"/>
      <c r="BM38" s="133">
        <f>IF(T38=0,0,IF(E38="N",H38,0))</f>
        <v>0</v>
      </c>
      <c r="BN38" s="133">
        <f>IF(T38=0,0,IF(M38="N",J38,0))</f>
        <v>0</v>
      </c>
      <c r="BO38" s="133">
        <f>IF(T38=0,0,IF(E38="N",H38,0))</f>
        <v>0</v>
      </c>
      <c r="BP38" s="133">
        <f>IF(T38=0,0,IF(M38="N",J38,0))</f>
        <v>0</v>
      </c>
      <c r="BQ38" s="133"/>
      <c r="BR38" s="133"/>
      <c r="BS38" s="133"/>
      <c r="BT38" s="133"/>
      <c r="BU38" s="133"/>
      <c r="BV38" s="133"/>
      <c r="BW38" s="133"/>
      <c r="BY38" s="130"/>
      <c r="BZ38" s="130"/>
      <c r="CA38" s="131">
        <v>32</v>
      </c>
      <c r="CB38" s="129">
        <f>IF(SUM(CB$7:CB37)=0,CC38,0)</f>
        <v>0</v>
      </c>
      <c r="CC38" s="129">
        <v>0</v>
      </c>
      <c r="CD38" s="133" t="s">
        <v>213</v>
      </c>
      <c r="CE38" s="133"/>
      <c r="CF38" s="133"/>
      <c r="CG38" s="133"/>
      <c r="CH38" s="132"/>
      <c r="CI38" s="132"/>
      <c r="CJ38" s="133"/>
      <c r="CK38" s="133"/>
      <c r="CL38" s="133"/>
      <c r="CM38" s="133"/>
      <c r="CN38" s="133"/>
      <c r="CO38" s="133"/>
      <c r="CP38" s="133"/>
      <c r="CQ38" s="32"/>
      <c r="CX38" s="62">
        <f t="shared" si="21"/>
        <v>620.00000999999997</v>
      </c>
      <c r="CY38" s="24"/>
      <c r="CZ38" s="22"/>
      <c r="DA38" s="62">
        <f t="shared" si="8"/>
        <v>690</v>
      </c>
      <c r="DB38" s="62">
        <f>DB28*DE38</f>
        <v>690</v>
      </c>
      <c r="DC38" s="62" t="s">
        <v>109</v>
      </c>
      <c r="DD38" s="62">
        <v>15</v>
      </c>
      <c r="DE38" s="62">
        <v>3</v>
      </c>
      <c r="DF38" s="62"/>
      <c r="DG38" s="62"/>
      <c r="DH38" s="62"/>
      <c r="DI38" s="27"/>
      <c r="DJ38" s="27"/>
      <c r="DK38" s="27"/>
      <c r="DL38" s="27"/>
      <c r="DN38" s="22"/>
      <c r="DO38" s="22"/>
      <c r="DP38" s="22"/>
      <c r="DQ38" s="22"/>
      <c r="DR38" s="22"/>
      <c r="DS38" s="22"/>
      <c r="DT38" s="22"/>
      <c r="DV38" s="74" t="s">
        <v>128</v>
      </c>
      <c r="DW38" s="75"/>
      <c r="DX38" s="1">
        <f>DW37</f>
        <v>60</v>
      </c>
      <c r="DY38" s="22"/>
      <c r="DZ38" s="22"/>
      <c r="EA38" s="22"/>
      <c r="EB38" s="22"/>
      <c r="EC38" s="612"/>
      <c r="ED38" s="612" t="s">
        <v>868</v>
      </c>
      <c r="EE38" s="612" t="s">
        <v>869</v>
      </c>
      <c r="EF38" s="612"/>
      <c r="EG38" s="22"/>
      <c r="EH38" s="22"/>
      <c r="EJ38" s="276">
        <v>6</v>
      </c>
      <c r="EK38" s="276">
        <f>IF(EL38&gt;0,6,0)</f>
        <v>0</v>
      </c>
      <c r="EL38" s="276">
        <f t="shared" si="38"/>
        <v>0</v>
      </c>
      <c r="EM38" s="276">
        <f>IF(SUM(EM$33:EM37)=0,IF(EP38&gt;1.799999,2,0),0)</f>
        <v>0</v>
      </c>
      <c r="EN38" s="276">
        <f>IF(SUM(EN$33:EN37)=0,IF(EP38&gt;2.799999,3,0),0)</f>
        <v>0</v>
      </c>
      <c r="EO38" s="62">
        <f>IF(SUM(EO$33:EO37)=0,IF(EP38&gt;3.799999,4,0),0)</f>
        <v>0</v>
      </c>
      <c r="EP38" s="64">
        <f t="shared" si="32"/>
        <v>26.477317554240631</v>
      </c>
      <c r="EQ38" s="62">
        <f t="shared" si="33"/>
        <v>5.0700000000000002E-2</v>
      </c>
      <c r="ER38" s="64">
        <f t="shared" si="34"/>
        <v>1.3424</v>
      </c>
      <c r="ES38" s="62">
        <v>2</v>
      </c>
      <c r="ET38" s="22"/>
      <c r="EU38" s="22"/>
      <c r="EV38" s="22"/>
      <c r="EW38" s="22"/>
      <c r="FH38" s="358"/>
      <c r="FI38" s="337"/>
      <c r="FJ38" s="337"/>
      <c r="FK38" s="337"/>
      <c r="FL38" s="337"/>
      <c r="FM38" s="337"/>
      <c r="FN38" s="337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K38" s="276">
        <v>6</v>
      </c>
      <c r="GL38" s="276">
        <f>IF(GM38&gt;0,6,0)</f>
        <v>0</v>
      </c>
      <c r="GM38" s="276">
        <f t="shared" si="39"/>
        <v>0</v>
      </c>
      <c r="GN38" s="276">
        <f>IF(SUM(GN$33:GN37)=0,IF(GQ38&gt;1.799999,2,0),0)</f>
        <v>0</v>
      </c>
      <c r="GO38" s="276">
        <f>IF(SUM(GO$33:GO37)=0,IF(GQ38&gt;2.799999,3,0),0)</f>
        <v>0</v>
      </c>
      <c r="GP38" s="62">
        <f>IF(SUM(GP$33:GP37)=0,IF(GQ38&gt;3.799999,4,0),0)</f>
        <v>0</v>
      </c>
      <c r="GQ38" s="64">
        <f t="shared" si="35"/>
        <v>20.519921104536486</v>
      </c>
      <c r="GR38" s="62">
        <f t="shared" si="36"/>
        <v>5.0700000000000002E-2</v>
      </c>
      <c r="GS38" s="64">
        <f t="shared" si="37"/>
        <v>1.04036</v>
      </c>
      <c r="GT38" s="62">
        <v>2</v>
      </c>
      <c r="GU38" s="22"/>
      <c r="GV38" s="22"/>
      <c r="GW38" s="22"/>
      <c r="GX38" s="22"/>
    </row>
    <row r="39" spans="1:209" ht="12" customHeight="1">
      <c r="A39" s="92"/>
      <c r="B39" s="106">
        <v>21</v>
      </c>
      <c r="C39" s="674"/>
      <c r="D39" s="671"/>
      <c r="E39" s="668" t="s">
        <v>12</v>
      </c>
      <c r="F39" s="667" t="s">
        <v>12</v>
      </c>
      <c r="G39" s="670" t="s">
        <v>394</v>
      </c>
      <c r="H39" s="669"/>
      <c r="I39" s="108" t="str">
        <f t="shared" si="28"/>
        <v>L1</v>
      </c>
      <c r="J39" s="669">
        <v>1100</v>
      </c>
      <c r="K39" s="670" t="s">
        <v>394</v>
      </c>
      <c r="L39" s="667" t="s">
        <v>12</v>
      </c>
      <c r="M39" s="668" t="s">
        <v>12</v>
      </c>
      <c r="N39" s="671" t="s">
        <v>978</v>
      </c>
      <c r="O39" s="672" t="s">
        <v>979</v>
      </c>
      <c r="P39" s="106">
        <v>22</v>
      </c>
      <c r="Q39" s="110"/>
      <c r="S39" s="133">
        <f>IF($H$5&gt;20,1,0)</f>
        <v>1</v>
      </c>
      <c r="T39" s="126">
        <f t="shared" si="29"/>
        <v>0</v>
      </c>
      <c r="U39" s="126" t="str">
        <f>IF($H$8=1,"L1","L2")</f>
        <v>L1</v>
      </c>
      <c r="W39" s="133">
        <f>IF(T39=0,0,IF($H$8=1,(H39+J39)," "))</f>
        <v>0</v>
      </c>
      <c r="X39" s="133">
        <f>IF(T39=0,0,IF($H$8=1," ",(H39+J39)))</f>
        <v>0</v>
      </c>
      <c r="Z39" s="133">
        <f>IF($H$8=1,IF(T39=0,0,IF(G39="G",H39,0))," ")</f>
        <v>0</v>
      </c>
      <c r="AA39" s="133">
        <f>IF($H$8=1,IF(T39=0,0,IF(K39="G",J39,0))," ")</f>
        <v>0</v>
      </c>
      <c r="AB39" s="133" t="str">
        <f>IF($H$8=1," ",IF(T39=0,0,IF(G39="G",H39,0)))</f>
        <v xml:space="preserve"> </v>
      </c>
      <c r="AC39" s="133" t="str">
        <f>IF($H$8=1," ",IF(T39=0,0,IF(K39="G",J39,0)))</f>
        <v xml:space="preserve"> </v>
      </c>
      <c r="AF39" s="126">
        <f>IF($H$8=1,IF(T39=0,0,IF(G39="D",H39,0))," ")</f>
        <v>0</v>
      </c>
      <c r="AG39" s="126">
        <f>IF($H$8=1,IF(T39=0,0,IF(K39="D",J39,0))," ")</f>
        <v>0</v>
      </c>
      <c r="AH39" s="126" t="str">
        <f>IF($H$8=1," ",IF(T39=0,0,IF(G39="D",H39,0)))</f>
        <v xml:space="preserve"> </v>
      </c>
      <c r="AI39" s="126" t="str">
        <f>IF($H$8=1," ",IF(T39=0,0,IF(K39="D",J39,0)))</f>
        <v xml:space="preserve"> </v>
      </c>
      <c r="AL39" s="126">
        <f>IF($H$8=1,IF(T39=0,0,IF(G39="C",H39,0))," ")</f>
        <v>0</v>
      </c>
      <c r="AM39" s="126">
        <f>IF($H$8=1,IF(T39=0,0,IF(K39="C",J39,0))," ")</f>
        <v>0</v>
      </c>
      <c r="AN39" s="126" t="str">
        <f>IF($H$8=1," ",IF(T39=0,0,IF(G39="C",H39,0)))</f>
        <v xml:space="preserve"> </v>
      </c>
      <c r="AO39" s="126" t="str">
        <f>IF($H$8=1," ",IF(T39=0,0,IF(K39="C",J39,0)))</f>
        <v xml:space="preserve"> </v>
      </c>
      <c r="AR39" s="133">
        <f t="shared" si="26"/>
        <v>0</v>
      </c>
      <c r="AS39" s="133">
        <f t="shared" si="27"/>
        <v>0</v>
      </c>
      <c r="AT39" s="133">
        <f>IF(T39=0,0,IF($H$8=1,IF(G39="M",H39,0)," "))</f>
        <v>0</v>
      </c>
      <c r="AU39" s="133">
        <f>IF(T39=0,0,IF($H$8=1,IF(K39="M",J39,0)," "))</f>
        <v>0</v>
      </c>
      <c r="AV39" s="133">
        <f>IF(T39=0,0,IF($H$8=1," ",IF(G39="M",H39,0)))</f>
        <v>0</v>
      </c>
      <c r="AW39" s="133">
        <f>IF(T39=0,0,IF($H$8=1," ",IF(K39="M",J39,0)))</f>
        <v>0</v>
      </c>
      <c r="BA39" s="133">
        <f>IF(T39=0,0,IF($H$8=1,IF(G39="K",H39,0)," "))</f>
        <v>0</v>
      </c>
      <c r="BB39" s="133">
        <f>IF(T39=0,0,IF($H$8=1,IF(K39="K",J39,0)," "))</f>
        <v>0</v>
      </c>
      <c r="BC39" s="133">
        <f>IF(T39=0,0,IF($H$8=1," ",IF(G39="K",H39,0)))</f>
        <v>0</v>
      </c>
      <c r="BD39" s="133">
        <f>IF(T39=0,0,IF($H$8=1," ",IF(K39="K",J39,0)))</f>
        <v>0</v>
      </c>
      <c r="BE39" s="133"/>
      <c r="BF39" s="133"/>
      <c r="BK39" s="133">
        <f>IF(T39=0,0,IF(E39="N",H39,0))</f>
        <v>0</v>
      </c>
      <c r="BL39" s="133">
        <f>IF(T39=0,0,IF(M39="N",J39,0))</f>
        <v>0</v>
      </c>
      <c r="BM39" s="133"/>
      <c r="BN39" s="133"/>
      <c r="BO39" s="133"/>
      <c r="BP39" s="133"/>
      <c r="BQ39" s="133">
        <f>IF(T39=0,0,IF(E39="N",H39,0))</f>
        <v>0</v>
      </c>
      <c r="BR39" s="133">
        <f>IF(T39=0,0,IF(M39="N",J39,0))</f>
        <v>0</v>
      </c>
      <c r="BS39" s="133"/>
      <c r="BT39" s="133"/>
      <c r="BU39" s="133"/>
      <c r="BV39" s="133"/>
      <c r="BW39" s="133"/>
      <c r="BY39" s="130"/>
      <c r="BZ39" s="130"/>
      <c r="CA39" s="131">
        <v>33</v>
      </c>
      <c r="CB39" s="129">
        <f>IF(SUM(CB$7:CB38)=0,CC39,0)</f>
        <v>0</v>
      </c>
      <c r="CC39" s="129">
        <v>0</v>
      </c>
      <c r="CD39" s="133" t="s">
        <v>209</v>
      </c>
      <c r="CE39" s="133"/>
      <c r="CF39" s="133"/>
      <c r="CG39" s="133"/>
      <c r="CH39" s="132"/>
      <c r="CI39" s="132"/>
      <c r="CJ39" s="133"/>
      <c r="CK39" s="133"/>
      <c r="CL39" s="133"/>
      <c r="CM39" s="133"/>
      <c r="CN39" s="133"/>
      <c r="CO39" s="133"/>
      <c r="CP39" s="133"/>
      <c r="CQ39" s="32"/>
      <c r="CX39" s="62">
        <f t="shared" si="21"/>
        <v>690.00000999999997</v>
      </c>
      <c r="CY39" s="24"/>
      <c r="CZ39" s="22"/>
      <c r="DA39" s="62">
        <f t="shared" si="8"/>
        <v>750</v>
      </c>
      <c r="DB39" s="62">
        <f>DB29*DE39</f>
        <v>750</v>
      </c>
      <c r="DC39" s="62" t="s">
        <v>112</v>
      </c>
      <c r="DD39" s="62">
        <v>16</v>
      </c>
      <c r="DE39" s="62">
        <v>3</v>
      </c>
      <c r="DF39" s="62"/>
      <c r="DG39" s="62"/>
      <c r="DH39" s="62"/>
      <c r="DI39" s="27"/>
      <c r="DJ39" s="27"/>
      <c r="DK39" s="27"/>
      <c r="DL39" s="27"/>
      <c r="DN39" s="22"/>
      <c r="DO39" s="22"/>
      <c r="DP39" s="22"/>
      <c r="DQ39" s="22"/>
      <c r="DR39" s="22"/>
      <c r="DS39" s="22" t="s">
        <v>35</v>
      </c>
      <c r="DT39" s="23">
        <f>DW39</f>
        <v>60</v>
      </c>
      <c r="DV39" s="76" t="s">
        <v>49</v>
      </c>
      <c r="DW39" s="72">
        <f>DW37+DW38</f>
        <v>60</v>
      </c>
      <c r="DY39" s="22"/>
      <c r="DZ39" s="31" t="s">
        <v>866</v>
      </c>
      <c r="EA39" s="31">
        <f>H8</f>
        <v>1</v>
      </c>
      <c r="EB39" s="22"/>
      <c r="EC39" s="612" t="s">
        <v>776</v>
      </c>
      <c r="ED39" s="612"/>
      <c r="EE39" s="612"/>
      <c r="EF39" s="612"/>
      <c r="EG39" s="22"/>
      <c r="EH39" s="22"/>
      <c r="EJ39" s="276">
        <v>7</v>
      </c>
      <c r="EK39" s="276">
        <f>IF(EL39&gt;0,7,0)</f>
        <v>0</v>
      </c>
      <c r="EL39" s="276">
        <f t="shared" si="38"/>
        <v>0</v>
      </c>
      <c r="EM39" s="276">
        <f>IF(SUM(EM$33:EM38)=0,IF(EP39&gt;1.799999,2,0),0)</f>
        <v>0</v>
      </c>
      <c r="EN39" s="276">
        <f>IF(SUM(EN$33:EN38)=0,IF(EP39&gt;2.799999,3,0),0)</f>
        <v>0</v>
      </c>
      <c r="EO39" s="62">
        <f>IF(SUM(EO$33:EO38)=0,IF(EP39&gt;3.799999,4,0),0)</f>
        <v>0</v>
      </c>
      <c r="EP39" s="64">
        <f t="shared" si="32"/>
        <v>46.216962524654832</v>
      </c>
      <c r="EQ39" s="62">
        <f t="shared" si="33"/>
        <v>5.0700000000000002E-2</v>
      </c>
      <c r="ER39" s="64">
        <f t="shared" si="34"/>
        <v>2.3431999999999999</v>
      </c>
      <c r="ES39" s="62">
        <v>2.5</v>
      </c>
      <c r="ET39" s="22"/>
      <c r="EU39" s="22"/>
      <c r="EV39" s="22"/>
      <c r="EW39" s="22"/>
      <c r="FH39" s="358"/>
      <c r="FI39" s="337"/>
      <c r="FJ39" s="337"/>
      <c r="FK39" s="337"/>
      <c r="FL39" s="337"/>
      <c r="FM39" s="337"/>
      <c r="FN39" s="337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K39" s="276">
        <v>7</v>
      </c>
      <c r="GL39" s="276">
        <f>IF(GM39&gt;0,7,0)</f>
        <v>0</v>
      </c>
      <c r="GM39" s="276">
        <f t="shared" si="39"/>
        <v>0</v>
      </c>
      <c r="GN39" s="276">
        <f>IF(SUM(GN$33:GN38)=0,IF(GQ39&gt;1.799999,2,0),0)</f>
        <v>0</v>
      </c>
      <c r="GO39" s="276">
        <f>IF(SUM(GO$33:GO38)=0,IF(GQ39&gt;2.799999,3,0),0)</f>
        <v>0</v>
      </c>
      <c r="GP39" s="62">
        <f>IF(SUM(GP$33:GP38)=0,IF(GQ39&gt;3.799999,4,0),0)</f>
        <v>0</v>
      </c>
      <c r="GQ39" s="64">
        <f t="shared" si="35"/>
        <v>35.818145956607495</v>
      </c>
      <c r="GR39" s="62">
        <f t="shared" si="36"/>
        <v>5.0700000000000002E-2</v>
      </c>
      <c r="GS39" s="64">
        <f t="shared" si="37"/>
        <v>1.8159799999999999</v>
      </c>
      <c r="GT39" s="62">
        <v>2.5</v>
      </c>
      <c r="GU39" s="22"/>
      <c r="GV39" s="22"/>
      <c r="GW39" s="22"/>
      <c r="GX39" s="22"/>
    </row>
    <row r="40" spans="1:209" ht="12" customHeight="1">
      <c r="A40" s="92"/>
      <c r="B40" s="106">
        <v>23</v>
      </c>
      <c r="C40" s="674"/>
      <c r="D40" s="671"/>
      <c r="E40" s="668" t="s">
        <v>12</v>
      </c>
      <c r="F40" s="667" t="s">
        <v>12</v>
      </c>
      <c r="G40" s="670" t="s">
        <v>394</v>
      </c>
      <c r="H40" s="669"/>
      <c r="I40" s="108" t="str">
        <f t="shared" si="28"/>
        <v>L2</v>
      </c>
      <c r="J40" s="669">
        <v>1100</v>
      </c>
      <c r="K40" s="670" t="s">
        <v>394</v>
      </c>
      <c r="L40" s="667" t="s">
        <v>12</v>
      </c>
      <c r="M40" s="668" t="s">
        <v>12</v>
      </c>
      <c r="N40" s="671" t="s">
        <v>978</v>
      </c>
      <c r="O40" s="672" t="s">
        <v>979</v>
      </c>
      <c r="P40" s="106">
        <v>24</v>
      </c>
      <c r="Q40" s="110"/>
      <c r="S40" s="133">
        <f>IF($H$5&gt;22,1,0)</f>
        <v>1</v>
      </c>
      <c r="T40" s="126">
        <f t="shared" si="29"/>
        <v>0</v>
      </c>
      <c r="U40" s="126" t="str">
        <f>IF($H$8=1,"L2","L3")</f>
        <v>L2</v>
      </c>
      <c r="X40" s="133">
        <f>IF(T40=0,0,IF($H$8=1,(H40+J40)," "))</f>
        <v>0</v>
      </c>
      <c r="Y40" s="133">
        <f>IF(T40=0,0,IF($H$8=1," ",(H40+J40)))</f>
        <v>0</v>
      </c>
      <c r="AB40" s="133">
        <f>IF($H$8=1,IF(T40=0,0,IF(G40="G",H40,0))," ")</f>
        <v>0</v>
      </c>
      <c r="AC40" s="133">
        <f>IF($H$8=1,IF(T40=0,0,IF(K40="G",J40,0))," ")</f>
        <v>0</v>
      </c>
      <c r="AD40" s="133" t="str">
        <f>IF($H$8=1," ",IF(T40=0,0,IF(G40="G",H40,0)))</f>
        <v xml:space="preserve"> </v>
      </c>
      <c r="AE40" s="133" t="str">
        <f>IF($H$8=1," ",IF(T40=0,0,IF(K40="G",J40,0)))</f>
        <v xml:space="preserve"> </v>
      </c>
      <c r="AH40" s="126">
        <f>IF($H$8=1,IF(T40=0,0,IF(G40="D",H40,0))," ")</f>
        <v>0</v>
      </c>
      <c r="AI40" s="126">
        <f>IF($H$8=1,IF(T40=0,0,IF(K40="D",J40,0))," ")</f>
        <v>0</v>
      </c>
      <c r="AJ40" s="126" t="str">
        <f>IF($H$8=1," ",IF(T40=0,0,IF(G40="D",H40,0)))</f>
        <v xml:space="preserve"> </v>
      </c>
      <c r="AK40" s="126" t="str">
        <f>IF($H$8=1," ",IF(T40=0,0,IF(K40="D",J40,0)))</f>
        <v xml:space="preserve"> </v>
      </c>
      <c r="AN40" s="126">
        <f>IF($H$8=1,IF(T40=0,0,IF(G40="C",H40,0))," ")</f>
        <v>0</v>
      </c>
      <c r="AO40" s="126">
        <f>IF($H$8=1,IF(T40=0,0,IF(K40="C",J40,0))," ")</f>
        <v>0</v>
      </c>
      <c r="AP40" s="126" t="str">
        <f>IF($H$8=1," ",IF(T40=0,0,IF(G40="C",H40,0)))</f>
        <v xml:space="preserve"> </v>
      </c>
      <c r="AQ40" s="126" t="str">
        <f>IF($H$8=1," ",IF(T40=0,0,IF(K40="C",J40,0)))</f>
        <v xml:space="preserve"> </v>
      </c>
      <c r="AR40" s="133">
        <f t="shared" si="26"/>
        <v>0</v>
      </c>
      <c r="AS40" s="133">
        <f t="shared" si="27"/>
        <v>0</v>
      </c>
      <c r="AV40" s="133">
        <f>IF(T40=0,0,IF($H$8=1,IF(G40="M",H40,0)," "))</f>
        <v>0</v>
      </c>
      <c r="AW40" s="133">
        <f>IF(T40=0,0,IF($H$8=1,IF(K40="M",J40,0)," "))</f>
        <v>0</v>
      </c>
      <c r="AX40" s="133">
        <f>IF(T40=0,0,IF($H$8=1," ",IF(G40="M",H40,0)))</f>
        <v>0</v>
      </c>
      <c r="AY40" s="133">
        <f>IF(T40=0,0,IF($H$8=1," ",IF(K40="M",J40,0)))</f>
        <v>0</v>
      </c>
      <c r="BA40" s="133"/>
      <c r="BB40" s="133"/>
      <c r="BC40" s="133">
        <f>IF(T40=0,0,IF($H$8=1,IF(G40="K",H40,0)," "))</f>
        <v>0</v>
      </c>
      <c r="BD40" s="133">
        <f>IF(T40=0,0,IF($H$8=1,IF(K40="K",J40,0)," "))</f>
        <v>0</v>
      </c>
      <c r="BE40" s="133">
        <f>IF(T40=0,0,IF($H$8=1," ",IF(G40="K",H40,0)))</f>
        <v>0</v>
      </c>
      <c r="BF40" s="133">
        <f>IF(T40=0,0,IF($H$8=1," ",IF(K40="K",J40,0)))</f>
        <v>0</v>
      </c>
      <c r="BG40" s="126"/>
      <c r="BI40" s="133">
        <f>IF(T40=0,0,IF(E40="N",H40,0))</f>
        <v>0</v>
      </c>
      <c r="BJ40" s="133">
        <f>IF(T40=0,0,IF(M40="N",J40,0))</f>
        <v>0</v>
      </c>
      <c r="BK40" s="133"/>
      <c r="BL40" s="133"/>
      <c r="BM40" s="133">
        <f>IF(T40=0,0,IF(E40="N",H40,0))</f>
        <v>0</v>
      </c>
      <c r="BN40" s="133">
        <f>IF(T40=0,0,IF(M40="N",J40,0))</f>
        <v>0</v>
      </c>
      <c r="BO40" s="133"/>
      <c r="BP40" s="133"/>
      <c r="BQ40" s="133"/>
      <c r="BR40" s="133"/>
      <c r="BS40" s="133">
        <f>IF(T40=0,0,IF(E40="N",H40,0))</f>
        <v>0</v>
      </c>
      <c r="BT40" s="133">
        <f>IF(T40=0,0,IF(M40="N",J40,0))</f>
        <v>0</v>
      </c>
      <c r="BU40" s="133"/>
      <c r="BV40" s="133"/>
      <c r="BW40" s="133"/>
      <c r="BY40" s="130"/>
      <c r="BZ40" s="130"/>
      <c r="CA40" s="131">
        <v>34</v>
      </c>
      <c r="CB40" s="129">
        <f>IF(SUM(CB$7:CB39)=0,CC40,0)</f>
        <v>0</v>
      </c>
      <c r="CC40" s="129">
        <v>0</v>
      </c>
      <c r="CD40" s="133" t="s">
        <v>210</v>
      </c>
      <c r="CE40" s="133"/>
      <c r="CF40" s="133"/>
      <c r="CG40" s="133"/>
      <c r="CH40" s="132"/>
      <c r="CI40" s="132"/>
      <c r="CJ40" s="133"/>
      <c r="CK40" s="133"/>
      <c r="CL40" s="133"/>
      <c r="CM40" s="133"/>
      <c r="CN40" s="133"/>
      <c r="CO40" s="133"/>
      <c r="CP40" s="133"/>
      <c r="CQ40" s="32"/>
      <c r="CX40" s="62">
        <f t="shared" si="21"/>
        <v>750.00000999999997</v>
      </c>
      <c r="CY40" s="24"/>
      <c r="CZ40" s="22"/>
      <c r="DA40" s="62">
        <f t="shared" si="8"/>
        <v>810</v>
      </c>
      <c r="DB40" s="62">
        <f>DB30*DE40</f>
        <v>810</v>
      </c>
      <c r="DC40" s="62" t="s">
        <v>114</v>
      </c>
      <c r="DD40" s="62">
        <v>17</v>
      </c>
      <c r="DE40" s="62">
        <v>3</v>
      </c>
      <c r="DF40" s="62"/>
      <c r="DG40" s="62"/>
      <c r="DH40" s="62"/>
      <c r="DI40" s="27"/>
      <c r="DJ40" s="27"/>
      <c r="DK40" s="27"/>
      <c r="DL40" s="27"/>
      <c r="DN40" s="22"/>
      <c r="DS40" s="1" t="s">
        <v>776</v>
      </c>
      <c r="DT40" s="23" t="s">
        <v>363</v>
      </c>
      <c r="DV40" s="22" t="s">
        <v>528</v>
      </c>
      <c r="DW40" s="612">
        <f>IF(AND(H8="3D",H10="AUTO"),VLOOKUP(CV10,DV13:DW34,2),0)</f>
        <v>0</v>
      </c>
      <c r="DX40" s="23">
        <f>MIN(DX37:DX38)</f>
        <v>60</v>
      </c>
      <c r="DY40" s="22"/>
      <c r="DZ40" s="22" t="s">
        <v>867</v>
      </c>
      <c r="EA40" s="22">
        <f>H10</f>
        <v>0</v>
      </c>
      <c r="EB40" s="22"/>
      <c r="EC40" s="612"/>
      <c r="ED40" s="612"/>
      <c r="EE40" s="612"/>
      <c r="EF40" s="612"/>
      <c r="EG40" s="22"/>
      <c r="EH40" s="22"/>
      <c r="EJ40" s="276">
        <v>8</v>
      </c>
      <c r="EK40" s="276">
        <f>IF(EL40&gt;0,8,0)</f>
        <v>0</v>
      </c>
      <c r="EL40" s="276">
        <f t="shared" si="38"/>
        <v>0</v>
      </c>
      <c r="EM40" s="276">
        <f>IF(SUM(EM$33:EM39)=0,IF(EP40&gt;1.799999,2,0),0)</f>
        <v>0</v>
      </c>
      <c r="EN40" s="276">
        <f>IF(SUM(EN$33:EN39)=0,IF(EP40&gt;2.799999,3,0),0)</f>
        <v>0</v>
      </c>
      <c r="EO40" s="62">
        <f>IF(SUM(EO$33:EO39)=0,IF(EP40&gt;3.799999,4,0),0)</f>
        <v>0</v>
      </c>
      <c r="EP40" s="64">
        <f t="shared" si="32"/>
        <v>69.790927021696248</v>
      </c>
      <c r="EQ40" s="62">
        <f t="shared" si="33"/>
        <v>5.0700000000000002E-2</v>
      </c>
      <c r="ER40" s="64">
        <f t="shared" si="34"/>
        <v>3.5384000000000002</v>
      </c>
      <c r="ES40" s="62">
        <v>3</v>
      </c>
      <c r="ET40" s="22"/>
      <c r="EU40" s="22"/>
      <c r="EV40" s="22"/>
      <c r="EW40" s="22"/>
      <c r="FH40" s="358"/>
      <c r="FI40" s="337"/>
      <c r="FJ40" s="337" t="s">
        <v>591</v>
      </c>
      <c r="FK40" s="337">
        <f>IF(D4="TRANSFORMER (1-PHASE)",FJ36,0)</f>
        <v>0</v>
      </c>
      <c r="FL40" s="337"/>
      <c r="FM40" s="337"/>
      <c r="FN40" s="337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K40" s="276">
        <v>8</v>
      </c>
      <c r="GL40" s="276">
        <f>IF(GM40&gt;0,8,0)</f>
        <v>0</v>
      </c>
      <c r="GM40" s="276">
        <f t="shared" si="39"/>
        <v>0</v>
      </c>
      <c r="GN40" s="276">
        <f>IF(SUM(GN$33:GN39)=0,IF(GQ40&gt;1.799999,2,0),0)</f>
        <v>0</v>
      </c>
      <c r="GO40" s="276">
        <f>IF(SUM(GO$33:GO39)=0,IF(GQ40&gt;2.799999,3,0),0)</f>
        <v>0</v>
      </c>
      <c r="GP40" s="62">
        <f>IF(SUM(GP$33:GP39)=0,IF(GQ40&gt;3.799999,4,0),0)</f>
        <v>0</v>
      </c>
      <c r="GQ40" s="64">
        <f t="shared" si="35"/>
        <v>54.087968441814589</v>
      </c>
      <c r="GR40" s="62">
        <f t="shared" si="36"/>
        <v>5.0700000000000002E-2</v>
      </c>
      <c r="GS40" s="64">
        <f t="shared" si="37"/>
        <v>2.7422599999999999</v>
      </c>
      <c r="GT40" s="62">
        <v>3</v>
      </c>
      <c r="GU40" s="22"/>
      <c r="GV40" s="22"/>
      <c r="GW40" s="22"/>
      <c r="GX40" s="22"/>
    </row>
    <row r="41" spans="1:209" ht="12" customHeight="1">
      <c r="A41" s="92"/>
      <c r="B41" s="106">
        <v>25</v>
      </c>
      <c r="C41" s="674"/>
      <c r="D41" s="671"/>
      <c r="E41" s="668" t="s">
        <v>12</v>
      </c>
      <c r="F41" s="667" t="s">
        <v>12</v>
      </c>
      <c r="G41" s="670" t="s">
        <v>394</v>
      </c>
      <c r="H41" s="669"/>
      <c r="I41" s="108" t="str">
        <f t="shared" si="28"/>
        <v>L1</v>
      </c>
      <c r="J41" s="669">
        <v>1100</v>
      </c>
      <c r="K41" s="670" t="s">
        <v>394</v>
      </c>
      <c r="L41" s="667" t="s">
        <v>12</v>
      </c>
      <c r="M41" s="668" t="s">
        <v>12</v>
      </c>
      <c r="N41" s="671" t="s">
        <v>978</v>
      </c>
      <c r="O41" s="672" t="s">
        <v>979</v>
      </c>
      <c r="P41" s="106">
        <v>26</v>
      </c>
      <c r="Q41" s="110"/>
      <c r="S41" s="133">
        <f>IF($H$5&gt;24,1,0)</f>
        <v>1</v>
      </c>
      <c r="T41" s="126">
        <f t="shared" si="29"/>
        <v>0</v>
      </c>
      <c r="U41" s="126" t="str">
        <f>IF($H$8=1,"L1","L1")</f>
        <v>L1</v>
      </c>
      <c r="W41" s="133">
        <f>IF(T41=0,0,(H41+J41))</f>
        <v>0</v>
      </c>
      <c r="Z41" s="133">
        <f>IF(T41=0,0,IF(G41="G",H41,0))</f>
        <v>0</v>
      </c>
      <c r="AA41" s="133">
        <f>IF(T41=0,0,IF(K41="G",J41,0))</f>
        <v>0</v>
      </c>
      <c r="AF41" s="126">
        <f>IF(T41=0,0,IF(G41="D",H41,0))</f>
        <v>0</v>
      </c>
      <c r="AG41" s="126">
        <f>IF(T41=0,0,IF(K41="D",J41,0))</f>
        <v>0</v>
      </c>
      <c r="AL41" s="126">
        <f>IF(T41=0,0,IF(G41="C",H41,0))</f>
        <v>0</v>
      </c>
      <c r="AM41" s="126">
        <f>IF(T41=0,0,IF(K41="C",J41,0))</f>
        <v>0</v>
      </c>
      <c r="AR41" s="133">
        <f t="shared" si="26"/>
        <v>0</v>
      </c>
      <c r="AS41" s="133">
        <f t="shared" si="27"/>
        <v>0</v>
      </c>
      <c r="AT41" s="133">
        <f>IF(T41=0,0,IF(G41="M",H41,0))</f>
        <v>0</v>
      </c>
      <c r="AU41" s="133">
        <f>IF(T41=0,0,IF(K41="M",J41,0))</f>
        <v>0</v>
      </c>
      <c r="BA41" s="133">
        <f>IF(T41=0,0,IF(G41="K",H41,0))</f>
        <v>0</v>
      </c>
      <c r="BB41" s="133">
        <f>IF(T41=0,0,IF(K41="K",J41,0))</f>
        <v>0</v>
      </c>
      <c r="BC41" s="133"/>
      <c r="BD41" s="133"/>
      <c r="BE41" s="133"/>
      <c r="BF41" s="133"/>
      <c r="BG41" s="126">
        <f>IF(T41=0,0,IF(E41="N",H41,0))</f>
        <v>0</v>
      </c>
      <c r="BH41" s="133">
        <f>IF(T41=0,0,IF(M41="N",J41,0))</f>
        <v>0</v>
      </c>
      <c r="BK41" s="133">
        <f>IF(T41=0,0,IF(E41="N",H41,0))</f>
        <v>0</v>
      </c>
      <c r="BL41" s="133">
        <f>IF(T41=0,0,IF(M41="N",J41,0))</f>
        <v>0</v>
      </c>
      <c r="BM41" s="133"/>
      <c r="BN41" s="133"/>
      <c r="BO41" s="133">
        <f>IF(T41=0,0,IF(E41="N",H41,0))</f>
        <v>0</v>
      </c>
      <c r="BP41" s="133">
        <f>IF(T41=0,0,IF(M41="N",J41,0))</f>
        <v>0</v>
      </c>
      <c r="BQ41" s="133"/>
      <c r="BR41" s="133"/>
      <c r="BS41" s="133"/>
      <c r="BT41" s="133"/>
      <c r="BU41" s="133"/>
      <c r="BV41" s="133"/>
      <c r="BW41" s="133"/>
      <c r="BY41" s="130"/>
      <c r="BZ41" s="130"/>
      <c r="CA41" s="131">
        <v>35</v>
      </c>
      <c r="CB41" s="129">
        <f>IF(SUM(CB$7:CB40)=0,CC41,0)</f>
        <v>0</v>
      </c>
      <c r="CC41" s="129">
        <v>0</v>
      </c>
      <c r="CD41" s="133" t="s">
        <v>211</v>
      </c>
      <c r="CE41" s="133"/>
      <c r="CF41" s="133"/>
      <c r="CG41" s="133"/>
      <c r="CH41" s="132"/>
      <c r="CI41" s="132"/>
      <c r="CJ41" s="133"/>
      <c r="CK41" s="133"/>
      <c r="CL41" s="133"/>
      <c r="CM41" s="133"/>
      <c r="CN41" s="133"/>
      <c r="CO41" s="133"/>
      <c r="CP41" s="133"/>
      <c r="CQ41" s="32"/>
      <c r="CX41" s="57">
        <f t="shared" si="21"/>
        <v>810.00000999999997</v>
      </c>
      <c r="CY41" s="24"/>
      <c r="CZ41" s="22"/>
      <c r="DA41" s="57">
        <f t="shared" si="8"/>
        <v>930</v>
      </c>
      <c r="DB41" s="57">
        <f>DB31*DE41</f>
        <v>930</v>
      </c>
      <c r="DC41" s="57" t="s">
        <v>116</v>
      </c>
      <c r="DD41" s="57">
        <v>18</v>
      </c>
      <c r="DE41" s="57">
        <v>3</v>
      </c>
      <c r="DF41" s="57"/>
      <c r="DG41" s="57"/>
      <c r="DH41" s="57"/>
      <c r="DI41" s="27"/>
      <c r="DJ41" s="27"/>
      <c r="DK41" s="27"/>
      <c r="DL41" s="27"/>
      <c r="DN41" s="22"/>
      <c r="DT41" s="23"/>
      <c r="DV41" s="22"/>
      <c r="DW41" s="22"/>
      <c r="DX41" s="22"/>
      <c r="DY41" s="22"/>
      <c r="DZ41" s="22"/>
      <c r="EA41" s="22"/>
      <c r="EB41" s="22"/>
      <c r="EC41" s="612"/>
      <c r="ED41" s="612"/>
      <c r="EE41" s="612"/>
      <c r="EF41" s="612"/>
      <c r="EG41" s="22"/>
      <c r="EH41" s="22"/>
      <c r="EJ41" s="276">
        <v>9</v>
      </c>
      <c r="EK41" s="276">
        <f>IF(EL41&gt;0,8,0)</f>
        <v>0</v>
      </c>
      <c r="EL41" s="276">
        <f t="shared" si="38"/>
        <v>0</v>
      </c>
      <c r="EM41" s="276">
        <f>IF(SUM(EM$33:EM40)=0,IF(EP41&gt;1.799999,2,0),0)</f>
        <v>0</v>
      </c>
      <c r="EN41" s="276">
        <f>IF(SUM(EN$33:EN40)=0,IF(EP41&gt;2.799999,3,0),0)</f>
        <v>0</v>
      </c>
      <c r="EO41" s="62">
        <f>IF(SUM(EO$33:EO40)=0,IF(EP41&gt;3.799999,4,0),0)</f>
        <v>0</v>
      </c>
      <c r="EP41" s="64">
        <f t="shared" si="32"/>
        <v>91.084812623274161</v>
      </c>
      <c r="EQ41" s="62">
        <f t="shared" si="33"/>
        <v>5.0700000000000002E-2</v>
      </c>
      <c r="ER41" s="64">
        <f t="shared" si="34"/>
        <v>4.6180000000000003</v>
      </c>
      <c r="ES41" s="62">
        <v>3.5</v>
      </c>
      <c r="ET41" s="22"/>
      <c r="EU41" s="22"/>
      <c r="EV41" s="22"/>
      <c r="EW41" s="22"/>
      <c r="FH41" s="358"/>
      <c r="FI41" s="337"/>
      <c r="FJ41" s="337" t="s">
        <v>472</v>
      </c>
      <c r="FK41" s="337"/>
      <c r="FL41" s="337"/>
      <c r="FM41" s="337"/>
      <c r="FN41" s="337"/>
      <c r="FW41" s="360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K41" s="276">
        <v>9</v>
      </c>
      <c r="GL41" s="276">
        <f>IF(GM41&gt;0,8,0)</f>
        <v>0</v>
      </c>
      <c r="GM41" s="276">
        <f t="shared" si="39"/>
        <v>0</v>
      </c>
      <c r="GN41" s="276">
        <f>IF(SUM(GN$33:GN40)=0,IF(GQ41&gt;1.799999,2,0),0)</f>
        <v>0</v>
      </c>
      <c r="GO41" s="276">
        <f>IF(SUM(GO$33:GO40)=0,IF(GQ41&gt;2.799999,3,0),0)</f>
        <v>0</v>
      </c>
      <c r="GP41" s="62">
        <f>IF(SUM(GP$33:GP40)=0,IF(GQ41&gt;3.799999,4,0),0)</f>
        <v>0</v>
      </c>
      <c r="GQ41" s="64">
        <f t="shared" si="35"/>
        <v>70.590729783037474</v>
      </c>
      <c r="GR41" s="62">
        <f t="shared" si="36"/>
        <v>5.0700000000000002E-2</v>
      </c>
      <c r="GS41" s="64">
        <f t="shared" si="37"/>
        <v>3.5789499999999999</v>
      </c>
      <c r="GT41" s="62">
        <v>3.5</v>
      </c>
      <c r="GU41" s="22"/>
      <c r="GV41" s="22"/>
      <c r="GW41" s="22"/>
      <c r="GX41" s="22"/>
    </row>
    <row r="42" spans="1:209" s="22" customFormat="1" ht="12" customHeight="1">
      <c r="A42" s="92"/>
      <c r="B42" s="106">
        <v>27</v>
      </c>
      <c r="C42" s="674"/>
      <c r="D42" s="671"/>
      <c r="E42" s="668" t="s">
        <v>12</v>
      </c>
      <c r="F42" s="667" t="s">
        <v>12</v>
      </c>
      <c r="G42" s="670" t="s">
        <v>394</v>
      </c>
      <c r="H42" s="669"/>
      <c r="I42" s="108" t="str">
        <f t="shared" si="28"/>
        <v>L2</v>
      </c>
      <c r="J42" s="669"/>
      <c r="K42" s="670" t="s">
        <v>394</v>
      </c>
      <c r="L42" s="667" t="s">
        <v>12</v>
      </c>
      <c r="M42" s="668" t="s">
        <v>12</v>
      </c>
      <c r="N42" s="671"/>
      <c r="O42" s="672"/>
      <c r="P42" s="106">
        <v>28</v>
      </c>
      <c r="Q42" s="110"/>
      <c r="R42" s="1"/>
      <c r="S42" s="133">
        <f>IF($H$5&gt;26,1,0)</f>
        <v>1</v>
      </c>
      <c r="T42" s="126">
        <f t="shared" si="29"/>
        <v>0</v>
      </c>
      <c r="U42" s="126" t="str">
        <f>IF($H$8=1,"L2","L2")</f>
        <v>L2</v>
      </c>
      <c r="V42" s="1"/>
      <c r="W42" s="133"/>
      <c r="X42" s="133">
        <f>IF(T42=0,0,(H42+J42))</f>
        <v>0</v>
      </c>
      <c r="Y42" s="133"/>
      <c r="Z42" s="133"/>
      <c r="AA42" s="133"/>
      <c r="AB42" s="133">
        <f>IF(T42=0,0,IF(G42="G",H42,0))</f>
        <v>0</v>
      </c>
      <c r="AC42" s="133">
        <f>IF(T42=0,0,IF(K42="G",J42,0))</f>
        <v>0</v>
      </c>
      <c r="AD42" s="133"/>
      <c r="AE42" s="133"/>
      <c r="AF42" s="126"/>
      <c r="AG42" s="126"/>
      <c r="AH42" s="126">
        <f>IF(T42=0,0,IF(G42="D",H42,0))</f>
        <v>0</v>
      </c>
      <c r="AI42" s="126">
        <f>IF(T42=0,0,IF(K42="D",J42,0))</f>
        <v>0</v>
      </c>
      <c r="AJ42" s="126"/>
      <c r="AK42" s="126"/>
      <c r="AL42" s="126"/>
      <c r="AM42" s="126"/>
      <c r="AN42" s="126">
        <f>IF(T42=0,0,IF(G42="C",H42,0))</f>
        <v>0</v>
      </c>
      <c r="AO42" s="126">
        <f>IF(T42=0,0,IF(K42="C",J42,0))</f>
        <v>0</v>
      </c>
      <c r="AP42" s="126"/>
      <c r="AQ42" s="126"/>
      <c r="AR42" s="133">
        <f t="shared" si="26"/>
        <v>0</v>
      </c>
      <c r="AS42" s="133">
        <f t="shared" si="27"/>
        <v>0</v>
      </c>
      <c r="AT42" s="133"/>
      <c r="AU42" s="133"/>
      <c r="AV42" s="133">
        <f>IF(T42=0,0,IF(G42="M",H42,0))</f>
        <v>0</v>
      </c>
      <c r="AW42" s="133">
        <f>IF(T42=0,0,IF(K42="M",J42,0))</f>
        <v>0</v>
      </c>
      <c r="AX42" s="133"/>
      <c r="AY42" s="133"/>
      <c r="AZ42" s="133"/>
      <c r="BA42" s="133"/>
      <c r="BB42" s="133"/>
      <c r="BC42" s="133">
        <f>IF(T42=0,0,IF(G42="K",H42,0))</f>
        <v>0</v>
      </c>
      <c r="BD42" s="133">
        <f>IF(T42=0,0,IF(K42="K",J42,0))</f>
        <v>0</v>
      </c>
      <c r="BE42" s="133"/>
      <c r="BF42" s="133"/>
      <c r="BG42" s="133"/>
      <c r="BH42" s="133"/>
      <c r="BI42" s="133"/>
      <c r="BJ42" s="133"/>
      <c r="BK42" s="133"/>
      <c r="BL42" s="133"/>
      <c r="BM42" s="133">
        <f>IF(T42=0,0,IF(E42="N",H42,0))</f>
        <v>0</v>
      </c>
      <c r="BN42" s="133">
        <f>IF(T42=0,0,IF(M42="N",J42,0))</f>
        <v>0</v>
      </c>
      <c r="BO42" s="133"/>
      <c r="BP42" s="133"/>
      <c r="BQ42" s="133">
        <f>IF(T42=0,0,IF(E42="N",H42,0))</f>
        <v>0</v>
      </c>
      <c r="BR42" s="133">
        <f>IF(T42=0,0,IF(M42="N",J42,0))</f>
        <v>0</v>
      </c>
      <c r="BS42" s="133"/>
      <c r="BT42" s="133"/>
      <c r="BU42" s="133"/>
      <c r="BV42" s="133"/>
      <c r="BW42" s="133"/>
      <c r="BY42" s="130"/>
      <c r="BZ42" s="130"/>
      <c r="CA42" s="131">
        <v>36</v>
      </c>
      <c r="CB42" s="129">
        <f>IF(SUM(CB$7:CB41)=0,CC42,0)</f>
        <v>0</v>
      </c>
      <c r="CC42" s="129">
        <v>0</v>
      </c>
      <c r="CD42" s="133" t="s">
        <v>732</v>
      </c>
      <c r="CE42" s="133"/>
      <c r="CF42" s="133"/>
      <c r="CG42" s="133"/>
      <c r="CH42" s="132"/>
      <c r="CI42" s="132"/>
      <c r="CJ42" s="133"/>
      <c r="CK42" s="133"/>
      <c r="CL42" s="133"/>
      <c r="CM42" s="133"/>
      <c r="CN42" s="133"/>
      <c r="CO42" s="133"/>
      <c r="CP42" s="133"/>
      <c r="CQ42" s="32"/>
      <c r="CX42" s="62">
        <f t="shared" si="21"/>
        <v>930.00000999999997</v>
      </c>
      <c r="CY42" s="24"/>
      <c r="DA42" s="62">
        <f t="shared" si="8"/>
        <v>1000</v>
      </c>
      <c r="DB42" s="62">
        <f>DB29*DE42</f>
        <v>1000</v>
      </c>
      <c r="DC42" s="62" t="s">
        <v>112</v>
      </c>
      <c r="DD42" s="62">
        <v>16</v>
      </c>
      <c r="DE42" s="62">
        <v>4</v>
      </c>
      <c r="DF42" s="62"/>
      <c r="DG42" s="62"/>
      <c r="DH42" s="62"/>
      <c r="DI42" s="27"/>
      <c r="DJ42" s="27"/>
      <c r="DK42" s="27"/>
      <c r="DL42" s="27"/>
      <c r="DO42" s="1"/>
      <c r="DP42" s="1"/>
      <c r="DQ42" s="1"/>
      <c r="DR42" s="1"/>
      <c r="DS42" s="1"/>
      <c r="DT42" s="23"/>
      <c r="EC42" s="612"/>
      <c r="ED42" s="612"/>
      <c r="EE42" s="612"/>
      <c r="EF42" s="612"/>
      <c r="EI42" s="1"/>
      <c r="EJ42" s="278">
        <v>10</v>
      </c>
      <c r="EK42" s="278">
        <f>IF(EL42&gt;0,10,0)</f>
        <v>0</v>
      </c>
      <c r="EL42" s="278">
        <f t="shared" si="38"/>
        <v>0</v>
      </c>
      <c r="EM42" s="278">
        <f>IF(SUM(EM$33:EM41)=0,IF(EP42&gt;1.799999,2,0),0)</f>
        <v>0</v>
      </c>
      <c r="EN42" s="278">
        <f>IF(SUM(EN$33:EN41)=0,IF(EP42&gt;2.799999,3,0),0)</f>
        <v>0</v>
      </c>
      <c r="EO42" s="57">
        <f>IF(SUM(EO$33:EO41)=0,IF(EP42&gt;3.799999,4,0),0)</f>
        <v>0</v>
      </c>
      <c r="EP42" s="68">
        <f t="shared" si="32"/>
        <v>116.39447731755423</v>
      </c>
      <c r="EQ42" s="57">
        <f t="shared" si="33"/>
        <v>5.0700000000000002E-2</v>
      </c>
      <c r="ER42" s="68">
        <f t="shared" si="34"/>
        <v>5.9012000000000002</v>
      </c>
      <c r="ES42" s="57">
        <v>4</v>
      </c>
      <c r="EX42" s="1"/>
      <c r="EY42" s="1"/>
      <c r="EZ42" s="1"/>
      <c r="FA42" s="1"/>
      <c r="FB42" s="1"/>
      <c r="FC42" s="1"/>
      <c r="FD42" s="1"/>
      <c r="FE42" s="1"/>
      <c r="FF42" s="1"/>
      <c r="FG42" s="334"/>
      <c r="FH42" s="358"/>
      <c r="FI42" s="337"/>
      <c r="FJ42" s="337"/>
      <c r="FK42" s="337"/>
      <c r="FL42" s="337"/>
      <c r="FM42" s="337"/>
      <c r="FN42" s="337"/>
      <c r="FO42" s="334"/>
      <c r="FP42" s="334"/>
      <c r="FQ42" s="334"/>
      <c r="FR42" s="334"/>
      <c r="FS42" s="357"/>
      <c r="FT42" s="357"/>
      <c r="FU42" s="357"/>
      <c r="FV42" s="357"/>
      <c r="FW42" s="361" t="s">
        <v>580</v>
      </c>
      <c r="GJ42" s="1"/>
      <c r="GK42" s="278">
        <v>10</v>
      </c>
      <c r="GL42" s="278">
        <f>IF(GM42&gt;0,10,0)</f>
        <v>0</v>
      </c>
      <c r="GM42" s="278">
        <f t="shared" si="39"/>
        <v>0</v>
      </c>
      <c r="GN42" s="278">
        <f>IF(SUM(GN$33:GN41)=0,IF(GQ42&gt;1.799999,2,0),0)</f>
        <v>0</v>
      </c>
      <c r="GO42" s="278">
        <f>IF(SUM(GO$33:GO41)=0,IF(GQ42&gt;2.799999,3,0),0)</f>
        <v>0</v>
      </c>
      <c r="GP42" s="57">
        <f>IF(SUM(GP$33:GP41)=0,IF(GQ42&gt;3.799999,4,0),0)</f>
        <v>0</v>
      </c>
      <c r="GQ42" s="68">
        <f t="shared" si="35"/>
        <v>90.205719921104532</v>
      </c>
      <c r="GR42" s="57">
        <f t="shared" si="36"/>
        <v>5.0700000000000002E-2</v>
      </c>
      <c r="GS42" s="68">
        <f t="shared" si="37"/>
        <v>4.5734300000000001</v>
      </c>
      <c r="GT42" s="57">
        <v>4</v>
      </c>
      <c r="GY42" s="1"/>
      <c r="GZ42" s="1"/>
      <c r="HA42" s="1"/>
    </row>
    <row r="43" spans="1:209" s="22" customFormat="1" ht="12" customHeight="1">
      <c r="A43" s="92"/>
      <c r="B43" s="106">
        <v>29</v>
      </c>
      <c r="C43" s="674"/>
      <c r="D43" s="671"/>
      <c r="E43" s="668" t="s">
        <v>12</v>
      </c>
      <c r="F43" s="667" t="s">
        <v>12</v>
      </c>
      <c r="G43" s="670" t="s">
        <v>394</v>
      </c>
      <c r="H43" s="669"/>
      <c r="I43" s="108" t="str">
        <f t="shared" si="28"/>
        <v>L1</v>
      </c>
      <c r="J43" s="669"/>
      <c r="K43" s="670" t="s">
        <v>394</v>
      </c>
      <c r="L43" s="667" t="s">
        <v>12</v>
      </c>
      <c r="M43" s="668" t="s">
        <v>12</v>
      </c>
      <c r="N43" s="671"/>
      <c r="O43" s="672"/>
      <c r="P43" s="106">
        <v>30</v>
      </c>
      <c r="Q43" s="110"/>
      <c r="R43" s="1"/>
      <c r="S43" s="133">
        <f>IF($H$5&gt;28,1,0)</f>
        <v>1</v>
      </c>
      <c r="T43" s="126">
        <f t="shared" si="29"/>
        <v>0</v>
      </c>
      <c r="U43" s="126" t="str">
        <f>IF($H$8=1,"L1","L3")</f>
        <v>L1</v>
      </c>
      <c r="V43" s="1"/>
      <c r="W43" s="133">
        <f>IF(T43=0,0,IF($H$8=1,(H43+J43)," "))</f>
        <v>0</v>
      </c>
      <c r="X43" s="133"/>
      <c r="Y43" s="133">
        <f>IF(T43=0,0,IF($H$8=1," ",(H43+J43)))</f>
        <v>0</v>
      </c>
      <c r="Z43" s="133">
        <f>IF($H$8=1,IF(T43=0,0,IF(G43="G",H43,0))," ")</f>
        <v>0</v>
      </c>
      <c r="AA43" s="133">
        <f>IF($H$8=1,IF(T43=0,0,IF(K43="G",J43,0))," ")</f>
        <v>0</v>
      </c>
      <c r="AB43" s="133"/>
      <c r="AC43" s="133"/>
      <c r="AD43" s="133" t="str">
        <f>IF($H$8=1," ",IF(T43=0,0,IF(G43="G",H43,0)))</f>
        <v xml:space="preserve"> </v>
      </c>
      <c r="AE43" s="133" t="str">
        <f>IF($H$8=1," ",IF(T43=0,0,IF(K43="G",J43,0)))</f>
        <v xml:space="preserve"> </v>
      </c>
      <c r="AF43" s="126">
        <f>IF($H$8=1,IF(T43=0,0,IF(G43="D",H43,0))," ")</f>
        <v>0</v>
      </c>
      <c r="AG43" s="126">
        <f>IF($H$8=1,IF(T43=0,0,IF(K43="D",J43,0))," ")</f>
        <v>0</v>
      </c>
      <c r="AH43" s="126"/>
      <c r="AI43" s="126"/>
      <c r="AJ43" s="126" t="str">
        <f>IF($H$8=1," ",IF(T43=0,0,IF(G43="D",H43,0)))</f>
        <v xml:space="preserve"> </v>
      </c>
      <c r="AK43" s="126" t="str">
        <f>IF($H$8=1," ",IF(T43=0,0,IF(K43="D",J43,0)))</f>
        <v xml:space="preserve"> </v>
      </c>
      <c r="AL43" s="126">
        <f>IF($H$8=1,IF(T43=0,0,IF(G43="C",H43,0))," ")</f>
        <v>0</v>
      </c>
      <c r="AM43" s="126">
        <f>IF($H$8=1,IF(T43=0,0,IF(K43="C",J43,0))," ")</f>
        <v>0</v>
      </c>
      <c r="AN43" s="126"/>
      <c r="AO43" s="126"/>
      <c r="AP43" s="126" t="str">
        <f>IF($H$8=1," ",IF(T43=0,0,IF(G43="C",H43,0)))</f>
        <v xml:space="preserve"> </v>
      </c>
      <c r="AQ43" s="126" t="str">
        <f>IF($H$8=1," ",IF(T43=0,0,IF(K43="C",J43,0)))</f>
        <v xml:space="preserve"> </v>
      </c>
      <c r="AR43" s="133">
        <f t="shared" si="26"/>
        <v>0</v>
      </c>
      <c r="AS43" s="133">
        <f t="shared" si="27"/>
        <v>0</v>
      </c>
      <c r="AT43" s="133">
        <f>IF(T43=0,0,IF($H$8=1,IF(G43="M",H43,0)," "))</f>
        <v>0</v>
      </c>
      <c r="AU43" s="133">
        <f>IF(T43=0,0,IF($H$8=1,IF(K43="M",J43,0)," "))</f>
        <v>0</v>
      </c>
      <c r="AV43" s="133"/>
      <c r="AW43" s="133"/>
      <c r="AX43" s="133">
        <f>IF(T43=0,0,IF($H$8=1," ",IF(G43="M",H43,0)))</f>
        <v>0</v>
      </c>
      <c r="AY43" s="133">
        <f>IF(T43=0,0,IF($H$8=1," ",IF(K43="M",J43,0)))</f>
        <v>0</v>
      </c>
      <c r="AZ43" s="133"/>
      <c r="BA43" s="133">
        <f>IF(T43=0,0,IF($H$8=1,IF(G43="K",H43,0)," "))</f>
        <v>0</v>
      </c>
      <c r="BB43" s="133">
        <f>IF(T43=0,0,IF($H$8=1,IF(K43="K",J43,0)," "))</f>
        <v>0</v>
      </c>
      <c r="BC43" s="133"/>
      <c r="BD43" s="133"/>
      <c r="BE43" s="133">
        <f>IF(T43=0,0,IF($H$8=1," ",IF(G43="K",H43,0)))</f>
        <v>0</v>
      </c>
      <c r="BF43" s="133">
        <f>IF(T43=0,0,IF($H$8=1," ",IF(K43="K",J43,0)))</f>
        <v>0</v>
      </c>
      <c r="BG43" s="126"/>
      <c r="BH43" s="133"/>
      <c r="BI43" s="133">
        <f>IF(T43=0,0,IF(E43="N",H43,0))</f>
        <v>0</v>
      </c>
      <c r="BJ43" s="133">
        <f>IF(T43=0,0,IF(M43="N",J43,0))</f>
        <v>0</v>
      </c>
      <c r="BK43" s="133">
        <f>IF(T43=0,0,IF(E43="N",H43,0))</f>
        <v>0</v>
      </c>
      <c r="BL43" s="133">
        <f>IF(T43=0,0,IF(M43="N",J43,0))</f>
        <v>0</v>
      </c>
      <c r="BM43" s="133"/>
      <c r="BN43" s="133"/>
      <c r="BO43" s="133"/>
      <c r="BP43" s="133"/>
      <c r="BQ43" s="133"/>
      <c r="BR43" s="133"/>
      <c r="BS43" s="133">
        <f>IF(T43=0,0,IF(E43="N",H43,0))</f>
        <v>0</v>
      </c>
      <c r="BT43" s="133">
        <f>IF(T43=0,0,IF(M43="N",J43,0))</f>
        <v>0</v>
      </c>
      <c r="BU43" s="133"/>
      <c r="BV43" s="133"/>
      <c r="BW43" s="133"/>
      <c r="BY43" s="130"/>
      <c r="BZ43" s="130"/>
      <c r="CA43" s="131">
        <v>37</v>
      </c>
      <c r="CB43" s="129">
        <f>IF(SUM(CB$7:CB42)=0,CC43,0)</f>
        <v>0</v>
      </c>
      <c r="CC43" s="129">
        <v>0</v>
      </c>
      <c r="CD43" s="133" t="s">
        <v>846</v>
      </c>
      <c r="CE43" s="133"/>
      <c r="CF43" s="133"/>
      <c r="CG43" s="133"/>
      <c r="CH43" s="132"/>
      <c r="CI43" s="132"/>
      <c r="CJ43" s="133"/>
      <c r="CK43" s="133"/>
      <c r="CL43" s="133"/>
      <c r="CM43" s="133"/>
      <c r="CN43" s="133"/>
      <c r="CO43" s="133"/>
      <c r="CP43" s="133"/>
      <c r="CQ43" s="32"/>
      <c r="CX43" s="62">
        <f t="shared" si="21"/>
        <v>1000.00001</v>
      </c>
      <c r="CY43" s="24"/>
      <c r="DA43" s="62">
        <f t="shared" si="8"/>
        <v>1080</v>
      </c>
      <c r="DB43" s="62">
        <f>DB30*DE43</f>
        <v>1080</v>
      </c>
      <c r="DC43" s="62" t="s">
        <v>114</v>
      </c>
      <c r="DD43" s="62">
        <v>17</v>
      </c>
      <c r="DE43" s="62">
        <v>4</v>
      </c>
      <c r="DF43" s="62"/>
      <c r="DG43" s="62"/>
      <c r="DH43" s="62"/>
      <c r="DI43" s="27"/>
      <c r="DJ43" s="27"/>
      <c r="DK43" s="27"/>
      <c r="DL43" s="27"/>
      <c r="DO43" s="1"/>
      <c r="DP43" s="1"/>
      <c r="DQ43" s="1"/>
      <c r="DR43" s="1"/>
      <c r="DS43" s="1"/>
      <c r="DT43" s="23"/>
      <c r="DV43" s="45" t="s">
        <v>137</v>
      </c>
      <c r="EC43" s="612"/>
      <c r="ED43" s="612"/>
      <c r="EE43" s="612"/>
      <c r="EF43" s="612"/>
      <c r="EI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334" t="s">
        <v>714</v>
      </c>
      <c r="FH43" s="337"/>
      <c r="FI43" s="337"/>
      <c r="FJ43" s="337"/>
      <c r="FK43" s="337"/>
      <c r="FL43" s="337"/>
      <c r="FM43" s="337"/>
      <c r="FN43" s="337"/>
      <c r="FO43" s="334"/>
      <c r="FP43" s="334"/>
      <c r="FQ43" s="334"/>
      <c r="FR43" s="334"/>
      <c r="FS43" s="357"/>
      <c r="FT43" s="357"/>
      <c r="FU43" s="357"/>
      <c r="FV43" s="357"/>
      <c r="FW43" s="361" t="s">
        <v>137</v>
      </c>
      <c r="GJ43" s="1"/>
      <c r="GX43" s="1"/>
      <c r="GY43" s="1"/>
      <c r="GZ43" s="1"/>
      <c r="HA43" s="1"/>
    </row>
    <row r="44" spans="1:209" ht="12" customHeight="1">
      <c r="A44" s="92"/>
      <c r="B44" s="106">
        <v>31</v>
      </c>
      <c r="C44" s="674"/>
      <c r="D44" s="671"/>
      <c r="E44" s="668" t="s">
        <v>12</v>
      </c>
      <c r="F44" s="667" t="s">
        <v>12</v>
      </c>
      <c r="G44" s="670" t="s">
        <v>394</v>
      </c>
      <c r="H44" s="669"/>
      <c r="I44" s="108" t="str">
        <f t="shared" si="28"/>
        <v>L2</v>
      </c>
      <c r="J44" s="669"/>
      <c r="K44" s="670" t="s">
        <v>394</v>
      </c>
      <c r="L44" s="667" t="s">
        <v>12</v>
      </c>
      <c r="M44" s="668" t="s">
        <v>12</v>
      </c>
      <c r="N44" s="671"/>
      <c r="O44" s="672"/>
      <c r="P44" s="106">
        <v>32</v>
      </c>
      <c r="Q44" s="110"/>
      <c r="S44" s="133">
        <f>IF($H$5&gt;30,1,0)</f>
        <v>1</v>
      </c>
      <c r="T44" s="126">
        <f t="shared" si="29"/>
        <v>0</v>
      </c>
      <c r="U44" s="126" t="str">
        <f>IF($H$8=1,"L2","L1")</f>
        <v>L2</v>
      </c>
      <c r="W44" s="133">
        <f>IF(T44=0,0,IF($H$8=1," ",(H44+J44)))</f>
        <v>0</v>
      </c>
      <c r="X44" s="133">
        <f>IF(T44=0,0,IF($H$8=1,(H44+J44)," "))</f>
        <v>0</v>
      </c>
      <c r="Z44" s="133" t="str">
        <f>IF($H$8=1," ",IF(T44=0,0,IF(G44="G",H44,0)))</f>
        <v xml:space="preserve"> </v>
      </c>
      <c r="AA44" s="133" t="str">
        <f>IF($H$8=1," ",IF(T44=0,0,IF(K44="G",J44,0)))</f>
        <v xml:space="preserve"> </v>
      </c>
      <c r="AB44" s="133">
        <f>IF($H$8=1,IF(T44=0,0,IF(G44="G",H44,0))," ")</f>
        <v>0</v>
      </c>
      <c r="AC44" s="133">
        <f>IF($H$8=1,IF(T44=0,0,IF(K44="G",J44,0))," ")</f>
        <v>0</v>
      </c>
      <c r="AF44" s="126" t="str">
        <f>IF($H$8=1," ",IF(T44=0,0,IF(G44="D",H44,0)))</f>
        <v xml:space="preserve"> </v>
      </c>
      <c r="AG44" s="126" t="str">
        <f>IF($H$8=1," ",IF(T44=0,0,IF(K44="D",J44,0)))</f>
        <v xml:space="preserve"> </v>
      </c>
      <c r="AH44" s="126">
        <f>IF($H$8=1,IF(T44=0,0,IF(G44="D",H44,0))," ")</f>
        <v>0</v>
      </c>
      <c r="AI44" s="126">
        <f>IF($H$8=1,IF(T44=0,0,IF(K44="D",J44,0))," ")</f>
        <v>0</v>
      </c>
      <c r="AL44" s="126" t="str">
        <f>IF($H$8=1," ",IF(T44=0,0,IF(G44="C",H44,0)))</f>
        <v xml:space="preserve"> </v>
      </c>
      <c r="AM44" s="126" t="str">
        <f>IF($H$8=1," ",IF(T44=0,0,IF(K44="C",J44,0)))</f>
        <v xml:space="preserve"> </v>
      </c>
      <c r="AN44" s="126">
        <f>IF($H$8=1,IF(T44=0,0,IF(G44="C",H44,0))," ")</f>
        <v>0</v>
      </c>
      <c r="AO44" s="126">
        <f>IF($H$8=1,IF(T44=0,0,IF(K44="C",J44,0))," ")</f>
        <v>0</v>
      </c>
      <c r="AR44" s="133">
        <f t="shared" si="26"/>
        <v>0</v>
      </c>
      <c r="AS44" s="133">
        <f t="shared" si="27"/>
        <v>0</v>
      </c>
      <c r="AT44" s="133">
        <f>IF(T44=0,0,IF($H$8=1," ",IF(G44="M",H44,0)))</f>
        <v>0</v>
      </c>
      <c r="AU44" s="133">
        <f>IF(T44=0,0,IF($H$8=1," ",IF(K44="M",J44,0)))</f>
        <v>0</v>
      </c>
      <c r="AV44" s="133">
        <f>IF(T44=0,0,IF($H$8=1,IF(G44="M",H44,0)," "))</f>
        <v>0</v>
      </c>
      <c r="AW44" s="133">
        <f>IF(T44=0,0,IF($H$8=1,IF(K44="M",J44,0)," "))</f>
        <v>0</v>
      </c>
      <c r="BA44" s="133">
        <f>IF(T44=0,0,IF($H$8=1," ",IF(G44="K",H44,0)))</f>
        <v>0</v>
      </c>
      <c r="BB44" s="133">
        <f>IF(T44=0,0,IF($H$8=1," ",IF(K44="K",J44,0)))</f>
        <v>0</v>
      </c>
      <c r="BC44" s="133">
        <f>IF(T44=0,0,IF($H$8=1,IF(G44="K",H44,0)," "))</f>
        <v>0</v>
      </c>
      <c r="BD44" s="133">
        <f>IF(T44=0,0,IF($H$8=1,IF(K44="K",J44,0)," "))</f>
        <v>0</v>
      </c>
      <c r="BE44" s="133"/>
      <c r="BF44" s="133"/>
      <c r="BG44" s="126">
        <f>IF(T44=0,0,IF(E44="N",H44,0))</f>
        <v>0</v>
      </c>
      <c r="BH44" s="133">
        <f>IF(T44=0,0,IF(M44="N",J44,0))</f>
        <v>0</v>
      </c>
      <c r="BK44" s="133"/>
      <c r="BL44" s="133"/>
      <c r="BM44" s="133">
        <f>IF(T44=0,0,IF(E44="N",H44,0))</f>
        <v>0</v>
      </c>
      <c r="BN44" s="133">
        <f>IF(T44=0,0,IF(M44="N",J44,0))</f>
        <v>0</v>
      </c>
      <c r="BO44" s="133">
        <f>IF(T44=0,0,IF(E44="N",H44,0))</f>
        <v>0</v>
      </c>
      <c r="BP44" s="133">
        <f>IF(T44=0,0,IF(M44="N",J44,0))</f>
        <v>0</v>
      </c>
      <c r="BQ44" s="133"/>
      <c r="BR44" s="133"/>
      <c r="BS44" s="133"/>
      <c r="BT44" s="133"/>
      <c r="BU44" s="133"/>
      <c r="BV44" s="133"/>
      <c r="BW44" s="133"/>
      <c r="BY44" s="130"/>
      <c r="BZ44" s="130"/>
      <c r="CA44" s="131"/>
      <c r="CB44" s="139">
        <f>SUM(CB7:CB43)</f>
        <v>0</v>
      </c>
      <c r="CC44" s="132"/>
      <c r="CD44" s="133"/>
      <c r="CE44" s="133"/>
      <c r="CF44" s="133"/>
      <c r="CG44" s="133"/>
      <c r="CH44" s="132"/>
      <c r="CI44" s="132"/>
      <c r="CJ44" s="133"/>
      <c r="CK44" s="133"/>
      <c r="CL44" s="133"/>
      <c r="CM44" s="133"/>
      <c r="CN44" s="133"/>
      <c r="CO44" s="133"/>
      <c r="CP44" s="133"/>
      <c r="CQ44" s="32"/>
      <c r="CX44" s="57">
        <f t="shared" si="21"/>
        <v>1080.00001</v>
      </c>
      <c r="CY44" s="24"/>
      <c r="CZ44" s="22"/>
      <c r="DA44" s="57">
        <f t="shared" si="8"/>
        <v>1240</v>
      </c>
      <c r="DB44" s="57">
        <f>DB31*DE44</f>
        <v>1240</v>
      </c>
      <c r="DC44" s="57" t="s">
        <v>116</v>
      </c>
      <c r="DD44" s="57">
        <v>18</v>
      </c>
      <c r="DE44" s="57">
        <v>4</v>
      </c>
      <c r="DF44" s="57"/>
      <c r="DG44" s="57"/>
      <c r="DH44" s="57"/>
      <c r="DI44" s="27"/>
      <c r="DJ44" s="27"/>
      <c r="DK44" s="27"/>
      <c r="DL44" s="27"/>
      <c r="DN44" s="22"/>
      <c r="DT44" s="23"/>
      <c r="DV44" s="22"/>
      <c r="DW44" s="22" t="s">
        <v>55</v>
      </c>
      <c r="DX44" s="22"/>
      <c r="DY44" s="22"/>
      <c r="DZ44" s="22"/>
      <c r="EA44" s="22"/>
      <c r="EB44" s="22"/>
      <c r="EC44" s="612"/>
      <c r="ED44" s="612"/>
      <c r="EE44" s="612"/>
      <c r="EF44" s="612"/>
      <c r="EG44" s="22"/>
      <c r="EH44" s="22"/>
      <c r="EJ44" s="22"/>
      <c r="EK44" s="22">
        <f>SUM(EK33:EK42)</f>
        <v>2</v>
      </c>
      <c r="EL44" s="22"/>
      <c r="EM44" s="22"/>
      <c r="EN44" s="22"/>
      <c r="EO44" s="22"/>
      <c r="EP44" s="22"/>
      <c r="EQ44" s="157" t="s">
        <v>530</v>
      </c>
      <c r="ER44" s="158"/>
      <c r="ES44" s="159"/>
      <c r="ET44" s="159"/>
      <c r="EU44" s="159"/>
      <c r="EV44" s="159"/>
      <c r="EW44" s="159"/>
      <c r="EX44" s="159"/>
      <c r="FH44" s="337"/>
      <c r="FI44" s="337"/>
      <c r="FJ44" s="337"/>
      <c r="FK44" s="337"/>
      <c r="FL44" s="337"/>
      <c r="FM44" s="337"/>
      <c r="FN44" s="337"/>
      <c r="FW44" s="360"/>
      <c r="FX44" s="22" t="s">
        <v>55</v>
      </c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K44" s="22"/>
      <c r="GL44" s="22">
        <f>SUM(GL33:GL42)</f>
        <v>1</v>
      </c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</row>
    <row r="45" spans="1:209" ht="12" customHeight="1">
      <c r="A45" s="92"/>
      <c r="B45" s="106">
        <v>33</v>
      </c>
      <c r="C45" s="674"/>
      <c r="D45" s="671"/>
      <c r="E45" s="668" t="s">
        <v>12</v>
      </c>
      <c r="F45" s="667" t="s">
        <v>12</v>
      </c>
      <c r="G45" s="670" t="s">
        <v>394</v>
      </c>
      <c r="H45" s="669"/>
      <c r="I45" s="108" t="str">
        <f t="shared" si="28"/>
        <v>L1</v>
      </c>
      <c r="J45" s="669"/>
      <c r="K45" s="670" t="s">
        <v>394</v>
      </c>
      <c r="L45" s="667" t="s">
        <v>12</v>
      </c>
      <c r="M45" s="668" t="s">
        <v>12</v>
      </c>
      <c r="N45" s="671"/>
      <c r="O45" s="672"/>
      <c r="P45" s="106">
        <v>34</v>
      </c>
      <c r="Q45" s="110"/>
      <c r="S45" s="133">
        <f>IF($H$5&gt;32,1,0)</f>
        <v>1</v>
      </c>
      <c r="T45" s="126">
        <f t="shared" si="29"/>
        <v>0</v>
      </c>
      <c r="U45" s="126" t="str">
        <f>IF($H$8=1,"L1","L2")</f>
        <v>L1</v>
      </c>
      <c r="W45" s="133">
        <f>IF(T45=0,0,IF($H$8=1,(H45+J45)," "))</f>
        <v>0</v>
      </c>
      <c r="X45" s="133">
        <f>IF(T45=0,0,IF($H$8=1," ",(H45+J45)))</f>
        <v>0</v>
      </c>
      <c r="Z45" s="133">
        <f>IF($H$8=1,IF(T45=0,0,IF(G45="G",H45,0))," ")</f>
        <v>0</v>
      </c>
      <c r="AA45" s="133">
        <f>IF($H$8=1,IF(T45=0,0,IF(K45="G",J45,0))," ")</f>
        <v>0</v>
      </c>
      <c r="AB45" s="133" t="str">
        <f>IF($H$8=1," ",IF(T45=0,0,IF(G45="G",H45,0)))</f>
        <v xml:space="preserve"> </v>
      </c>
      <c r="AC45" s="133" t="str">
        <f>IF($H$8=1," ",IF(T45=0,0,IF(K45="G",J45,0)))</f>
        <v xml:space="preserve"> </v>
      </c>
      <c r="AF45" s="126">
        <f>IF($H$8=1,IF(T45=0,0,IF(G45="D",H45,0))," ")</f>
        <v>0</v>
      </c>
      <c r="AG45" s="126">
        <f>IF($H$8=1,IF(T45=0,0,IF(K45="D",J45,0))," ")</f>
        <v>0</v>
      </c>
      <c r="AH45" s="126" t="str">
        <f>IF($H$8=1," ",IF(T45=0,0,IF(G45="D",H45,0)))</f>
        <v xml:space="preserve"> </v>
      </c>
      <c r="AI45" s="126" t="str">
        <f>IF($H$8=1," ",IF(T45=0,0,IF(K45="D",J45,0)))</f>
        <v xml:space="preserve"> </v>
      </c>
      <c r="AL45" s="126">
        <f>IF($H$8=1,IF(T45=0,0,IF(G45="C",H45,0))," ")</f>
        <v>0</v>
      </c>
      <c r="AM45" s="126">
        <f>IF($H$8=1,IF(T45=0,0,IF(K45="C",J45,0))," ")</f>
        <v>0</v>
      </c>
      <c r="AN45" s="126" t="str">
        <f>IF($H$8=1," ",IF(T45=0,0,IF(G45="C",H45,0)))</f>
        <v xml:space="preserve"> </v>
      </c>
      <c r="AO45" s="126" t="str">
        <f>IF($H$8=1," ",IF(T45=0,0,IF(K45="C",J45,0)))</f>
        <v xml:space="preserve"> </v>
      </c>
      <c r="AR45" s="133">
        <f t="shared" si="26"/>
        <v>0</v>
      </c>
      <c r="AS45" s="133">
        <f t="shared" si="27"/>
        <v>0</v>
      </c>
      <c r="AT45" s="133">
        <f>IF(T45=0,0,IF($H$8=1,IF(G45="M",H45,0)," "))</f>
        <v>0</v>
      </c>
      <c r="AU45" s="133">
        <f>IF(T45=0,0,IF($H$8=1,IF(K45="M",J45,0)," "))</f>
        <v>0</v>
      </c>
      <c r="AV45" s="133">
        <f>IF(T45=0,0,IF($H$8=1," ",IF(G45="M",H45,0)))</f>
        <v>0</v>
      </c>
      <c r="AW45" s="133">
        <f>IF(T45=0,0,IF($H$8=1," ",IF(K45="M",J45,0)))</f>
        <v>0</v>
      </c>
      <c r="BA45" s="133">
        <f>IF(T45=0,0,IF($H$8=1,IF(G45="K",H45,0)," "))</f>
        <v>0</v>
      </c>
      <c r="BB45" s="133">
        <f>IF(T45=0,0,IF($H$8=1,IF(K45="K",J45,0)," "))</f>
        <v>0</v>
      </c>
      <c r="BC45" s="133">
        <f>IF(T45=0,0,IF($H$8=1," ",IF(G45="K",H45,0)))</f>
        <v>0</v>
      </c>
      <c r="BD45" s="133">
        <f>IF(T45=0,0,IF($H$8=1," ",IF(K45="K",J45,0)))</f>
        <v>0</v>
      </c>
      <c r="BE45" s="133"/>
      <c r="BF45" s="133"/>
      <c r="BK45" s="133">
        <f>IF(T45=0,0,IF(E45="N",H45,0))</f>
        <v>0</v>
      </c>
      <c r="BL45" s="133">
        <f>IF(T45=0,0,IF(M45="N",J45,0))</f>
        <v>0</v>
      </c>
      <c r="BM45" s="133"/>
      <c r="BN45" s="133"/>
      <c r="BO45" s="133"/>
      <c r="BP45" s="133"/>
      <c r="BQ45" s="133">
        <f>IF(T45=0,0,IF(E45="N",H45,0))</f>
        <v>0</v>
      </c>
      <c r="BR45" s="133">
        <f>IF(T45=0,0,IF(M45="N",J45,0))</f>
        <v>0</v>
      </c>
      <c r="BS45" s="133"/>
      <c r="BT45" s="133"/>
      <c r="BU45" s="133"/>
      <c r="BV45" s="133"/>
      <c r="BW45" s="133"/>
      <c r="BY45" s="130"/>
      <c r="BZ45" s="130"/>
      <c r="CA45" s="131" t="str">
        <f>IF(CB44=0," ",VLOOKUP(CB44,CA7:CD44,4))</f>
        <v xml:space="preserve"> </v>
      </c>
      <c r="CB45" s="132"/>
      <c r="CC45" s="132"/>
      <c r="CD45" s="133"/>
      <c r="CE45" s="133" t="s">
        <v>12</v>
      </c>
      <c r="CF45" s="133"/>
      <c r="CG45" s="133"/>
      <c r="CH45" s="132"/>
      <c r="CI45" s="132"/>
      <c r="CJ45" s="133"/>
      <c r="CK45" s="133"/>
      <c r="CL45" s="133"/>
      <c r="CM45" s="133"/>
      <c r="CN45" s="133"/>
      <c r="CO45" s="133"/>
      <c r="CP45" s="133"/>
      <c r="CQ45" s="32"/>
      <c r="CX45" s="62">
        <f t="shared" si="21"/>
        <v>1240.00001</v>
      </c>
      <c r="CY45" s="24"/>
      <c r="CZ45" s="22"/>
      <c r="DA45" s="62">
        <f t="shared" si="8"/>
        <v>1250</v>
      </c>
      <c r="DB45" s="62">
        <f>DB29*DE45</f>
        <v>1250</v>
      </c>
      <c r="DC45" s="62" t="s">
        <v>112</v>
      </c>
      <c r="DD45" s="62">
        <v>16</v>
      </c>
      <c r="DE45" s="62">
        <v>5</v>
      </c>
      <c r="DF45" s="62"/>
      <c r="DG45" s="62"/>
      <c r="DH45" s="62"/>
      <c r="DI45" s="27"/>
      <c r="DJ45" s="27"/>
      <c r="DK45" s="27"/>
      <c r="DL45" s="27"/>
      <c r="DN45" s="22"/>
      <c r="DT45" s="23"/>
      <c r="DV45" s="46" t="s">
        <v>139</v>
      </c>
      <c r="DW45" s="77">
        <f>CZ54</f>
        <v>5</v>
      </c>
      <c r="DX45" s="47"/>
      <c r="DY45" s="22"/>
      <c r="DZ45" s="22"/>
      <c r="EA45" s="22"/>
      <c r="EB45" s="22"/>
      <c r="EC45" s="612"/>
      <c r="ED45" s="612"/>
      <c r="EE45" s="612"/>
      <c r="EF45" s="612"/>
      <c r="EG45" s="22"/>
      <c r="EH45" s="22"/>
      <c r="EJ45" s="22"/>
      <c r="EK45" s="22">
        <f>VLOOKUP(EK44,EJ33:ES42,10)</f>
        <v>0.75</v>
      </c>
      <c r="EL45" s="22"/>
      <c r="EM45" s="22"/>
      <c r="EN45" s="22"/>
      <c r="EO45" s="22"/>
      <c r="EP45" s="22"/>
      <c r="EQ45" s="158"/>
      <c r="ER45" s="158"/>
      <c r="ES45" s="158"/>
      <c r="ET45" s="159"/>
      <c r="EU45" s="159"/>
      <c r="EV45" s="159"/>
      <c r="EW45" s="159"/>
      <c r="EX45" s="159"/>
      <c r="FH45" s="334" t="s">
        <v>575</v>
      </c>
      <c r="FL45" s="334" t="s">
        <v>576</v>
      </c>
      <c r="FO45" s="357"/>
      <c r="FP45" s="357"/>
      <c r="FQ45" s="357"/>
      <c r="FR45" s="357"/>
      <c r="FW45" s="362" t="s">
        <v>139</v>
      </c>
      <c r="FX45" s="77">
        <f>CZ57</f>
        <v>5</v>
      </c>
      <c r="FY45" s="47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K45" s="22"/>
      <c r="GL45" s="22">
        <f>VLOOKUP(GL44,GK33:GT42,10)</f>
        <v>0.5</v>
      </c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</row>
    <row r="46" spans="1:209" ht="12" customHeight="1">
      <c r="A46" s="92"/>
      <c r="B46" s="106">
        <v>35</v>
      </c>
      <c r="C46" s="674"/>
      <c r="D46" s="671"/>
      <c r="E46" s="668" t="s">
        <v>12</v>
      </c>
      <c r="F46" s="667" t="s">
        <v>12</v>
      </c>
      <c r="G46" s="670" t="s">
        <v>394</v>
      </c>
      <c r="H46" s="669"/>
      <c r="I46" s="108" t="str">
        <f t="shared" si="28"/>
        <v>L2</v>
      </c>
      <c r="J46" s="669"/>
      <c r="K46" s="670" t="s">
        <v>394</v>
      </c>
      <c r="L46" s="667" t="s">
        <v>12</v>
      </c>
      <c r="M46" s="668" t="s">
        <v>12</v>
      </c>
      <c r="N46" s="671"/>
      <c r="O46" s="672"/>
      <c r="P46" s="106">
        <v>36</v>
      </c>
      <c r="Q46" s="110"/>
      <c r="S46" s="133">
        <f>IF($H$5&gt;34,1,0)</f>
        <v>1</v>
      </c>
      <c r="T46" s="126">
        <f t="shared" si="29"/>
        <v>0</v>
      </c>
      <c r="U46" s="126" t="str">
        <f>IF($H$8=1,"L2","L3")</f>
        <v>L2</v>
      </c>
      <c r="X46" s="133">
        <f>IF(T46=0,0,IF($H$8=1,(H46+J46)," "))</f>
        <v>0</v>
      </c>
      <c r="Y46" s="133">
        <f>IF(T46=0,0,IF($H$8=1," ",(H46+J46)))</f>
        <v>0</v>
      </c>
      <c r="AB46" s="133">
        <f>IF($H$8=1,IF(T46=0,0,IF(G46="G",H46,0))," ")</f>
        <v>0</v>
      </c>
      <c r="AC46" s="133">
        <f>IF($H$8=1,IF(T46=0,0,IF(K46="G",J46,0))," ")</f>
        <v>0</v>
      </c>
      <c r="AD46" s="133" t="str">
        <f>IF($H$8=1," ",IF(T46=0,0,IF(G46="G",H46,0)))</f>
        <v xml:space="preserve"> </v>
      </c>
      <c r="AE46" s="133" t="str">
        <f>IF($H$8=1," ",IF(T46=0,0,IF(K46="G",J46,0)))</f>
        <v xml:space="preserve"> </v>
      </c>
      <c r="AH46" s="126">
        <f>IF($H$8=1,IF(T46=0,0,IF(G46="D",H46,0))," ")</f>
        <v>0</v>
      </c>
      <c r="AI46" s="126">
        <f>IF($H$8=1,IF(T46=0,0,IF(K46="D",J46,0))," ")</f>
        <v>0</v>
      </c>
      <c r="AJ46" s="126" t="str">
        <f>IF($H$8=1," ",IF(T46=0,0,IF(G46="D",H46,0)))</f>
        <v xml:space="preserve"> </v>
      </c>
      <c r="AK46" s="126" t="str">
        <f>IF($H$8=1," ",IF(T46=0,0,IF(K46="D",J46,0)))</f>
        <v xml:space="preserve"> </v>
      </c>
      <c r="AN46" s="126">
        <f>IF($H$8=1,IF(T46=0,0,IF(G46="C",H46,0))," ")</f>
        <v>0</v>
      </c>
      <c r="AO46" s="126">
        <f>IF($H$8=1,IF(T46=0,0,IF(K46="C",J46,0))," ")</f>
        <v>0</v>
      </c>
      <c r="AP46" s="126" t="str">
        <f>IF($H$8=1," ",IF(T46=0,0,IF(G46="C",H46,0)))</f>
        <v xml:space="preserve"> </v>
      </c>
      <c r="AQ46" s="126" t="str">
        <f>IF($H$8=1," ",IF(T46=0,0,IF(K46="C",J46,0)))</f>
        <v xml:space="preserve"> </v>
      </c>
      <c r="AR46" s="133">
        <f t="shared" si="26"/>
        <v>0</v>
      </c>
      <c r="AS46" s="133">
        <f t="shared" si="27"/>
        <v>0</v>
      </c>
      <c r="AV46" s="133">
        <f>IF(T46=0,0,IF($H$8=1,IF(G46="M",H46,0)," "))</f>
        <v>0</v>
      </c>
      <c r="AW46" s="133">
        <f>IF(T46=0,0,IF($H$8=1,IF(K46="M",J46,0)," "))</f>
        <v>0</v>
      </c>
      <c r="AX46" s="133">
        <f>IF(T46=0,0,IF($H$8=1," ",IF(G46="M",H46,0)))</f>
        <v>0</v>
      </c>
      <c r="AY46" s="133">
        <f>IF(T46=0,0,IF($H$8=1," ",IF(K46="M",J46,0)))</f>
        <v>0</v>
      </c>
      <c r="BA46" s="133"/>
      <c r="BB46" s="133"/>
      <c r="BC46" s="133">
        <f>IF(T46=0,0,IF($H$8=1,IF(G46="K",H46,0)," "))</f>
        <v>0</v>
      </c>
      <c r="BD46" s="133">
        <f>IF(T46=0,0,IF($H$8=1,IF(K46="K",J46,0)," "))</f>
        <v>0</v>
      </c>
      <c r="BE46" s="133">
        <f>IF(T46=0,0,IF($H$8=1," ",IF(G46="K",H46,0)))</f>
        <v>0</v>
      </c>
      <c r="BF46" s="133">
        <f>IF(T46=0,0,IF($H$8=1," ",IF(K46="K",J46,0)))</f>
        <v>0</v>
      </c>
      <c r="BG46" s="126"/>
      <c r="BI46" s="133">
        <f>IF(T46=0,0,IF(E46="N",H46,0))</f>
        <v>0</v>
      </c>
      <c r="BJ46" s="133">
        <f>IF(T46=0,0,IF(M46="N",J46,0))</f>
        <v>0</v>
      </c>
      <c r="BK46" s="133"/>
      <c r="BL46" s="133"/>
      <c r="BM46" s="133">
        <f>IF(T46=0,0,IF(E46="N",H46,0))</f>
        <v>0</v>
      </c>
      <c r="BN46" s="133">
        <f>IF(T46=0,0,IF(M46="N",J46,0))</f>
        <v>0</v>
      </c>
      <c r="BO46" s="133"/>
      <c r="BP46" s="133"/>
      <c r="BQ46" s="133"/>
      <c r="BR46" s="133"/>
      <c r="BS46" s="133">
        <f>IF(T46=0,0,IF(E46="N",H46,0))</f>
        <v>0</v>
      </c>
      <c r="BT46" s="133">
        <f>IF(T46=0,0,IF(M46="N",J46,0))</f>
        <v>0</v>
      </c>
      <c r="BU46" s="133"/>
      <c r="BV46" s="133"/>
      <c r="BW46" s="133"/>
      <c r="BY46" s="130"/>
      <c r="BZ46" s="130"/>
      <c r="CA46" s="128">
        <v>1</v>
      </c>
      <c r="CB46" s="129">
        <f>CC46</f>
        <v>0</v>
      </c>
      <c r="CC46" s="129">
        <f>IF(H$5&lt;2,0,IF(G29="G",0,IF(G29="C",0,IF(G29="M",0,IF(G29="K",0,IF(AND(OR($H$11="FULL",$H$11="AUTO"),G29="D"),0,1))))))</f>
        <v>0</v>
      </c>
      <c r="CD46" s="128" t="str">
        <f>IF($H$11="NONE","ENTER CIRCUIT #1 LOAD IDENTIFIER  ( G, C, M, K )","ENTER CIRCUIT #1 LOAD IDENTIFIER  ( G, D, C, M, K )")</f>
        <v>ENTER CIRCUIT #1 LOAD IDENTIFIER  ( G, D, C, M, K )</v>
      </c>
      <c r="CE46" s="129">
        <f>CF46</f>
        <v>0</v>
      </c>
      <c r="CF46" s="129">
        <f>IF(H$5&lt;2,0,IF(ISBLANK(F29)=TRUE,1,IF(F29=" ",0,IF(F29="H",0,1))))</f>
        <v>0</v>
      </c>
      <c r="CG46" s="128" t="s">
        <v>85</v>
      </c>
      <c r="CH46" s="129">
        <f>CI46</f>
        <v>0</v>
      </c>
      <c r="CI46" s="132">
        <f>IF($H$5&lt;2,0,IF(ISBLANK($E29)=TRUE,1,IF($E29="N",0,IF($E29=" ",0,1))))</f>
        <v>0</v>
      </c>
      <c r="CJ46" s="128" t="s">
        <v>443</v>
      </c>
      <c r="CK46" s="128"/>
      <c r="CL46" s="128"/>
      <c r="CM46" s="128"/>
      <c r="CN46" s="128"/>
      <c r="CO46" s="128"/>
      <c r="CP46" s="128"/>
      <c r="CQ46" s="28"/>
      <c r="CX46" s="62">
        <f t="shared" si="21"/>
        <v>1250.00001</v>
      </c>
      <c r="CY46" s="24"/>
      <c r="CZ46" s="22"/>
      <c r="DA46" s="62">
        <f t="shared" si="8"/>
        <v>1350</v>
      </c>
      <c r="DB46" s="62">
        <f>DB30*DE46</f>
        <v>1350</v>
      </c>
      <c r="DC46" s="62" t="s">
        <v>114</v>
      </c>
      <c r="DD46" s="62">
        <v>17</v>
      </c>
      <c r="DE46" s="62">
        <v>5</v>
      </c>
      <c r="DF46" s="62"/>
      <c r="DG46" s="62"/>
      <c r="DH46" s="62"/>
      <c r="DI46" s="27"/>
      <c r="DJ46" s="27"/>
      <c r="DK46" s="27"/>
      <c r="DL46" s="27"/>
      <c r="DN46" s="22"/>
      <c r="DV46" s="78" t="s">
        <v>141</v>
      </c>
      <c r="DW46" s="28" t="str">
        <f>H14</f>
        <v>THHN</v>
      </c>
      <c r="DX46" s="50"/>
      <c r="DY46" s="22"/>
      <c r="DZ46" s="22"/>
      <c r="EA46" s="22"/>
      <c r="EB46" s="22"/>
      <c r="EC46" s="612"/>
      <c r="ED46" s="612" t="str">
        <f>IF(AND(Input!H8="3D",Input!O15="1-PHASE"),"X X X",IF(H8&lt;&gt;1,"X X X",CONCATENATE(ED37,ED38)))</f>
        <v>60A-2P</v>
      </c>
      <c r="EE46" s="612" t="str">
        <f>IF(AND(Input!H8="3D",Input!O15="1-PHASE"),CONCATENATE(EE37,EE38),IF(H8=1,"X X X",CONCATENATE(EE37,EE38)))</f>
        <v>X X X</v>
      </c>
      <c r="EF46" s="612" t="str">
        <f>IF(AND(Input!H8="3D",Input!O15="1-PHASE"),"X X X",IF(H8&lt;&gt;1,"X X X",CONCATENATE(EF37,EF38)))</f>
        <v/>
      </c>
      <c r="EG46" s="22"/>
      <c r="EH46" s="22"/>
      <c r="EJ46" s="22"/>
      <c r="EK46" s="22"/>
      <c r="EL46" s="22"/>
      <c r="EM46" s="22"/>
      <c r="EN46" s="22"/>
      <c r="EO46" s="22"/>
      <c r="EP46" s="22"/>
      <c r="EQ46" s="160">
        <v>1</v>
      </c>
      <c r="ER46" s="161">
        <v>1</v>
      </c>
      <c r="ES46" s="162" t="s">
        <v>134</v>
      </c>
      <c r="ET46" s="163">
        <f t="shared" ref="ET46:ET51" si="40">$EM$79</f>
        <v>0.80800000000000005</v>
      </c>
      <c r="EU46" s="161" t="s">
        <v>135</v>
      </c>
      <c r="EV46" s="161">
        <f>IF(EK$59&gt;1,ER46/ET46,0)</f>
        <v>0</v>
      </c>
      <c r="EW46" s="161"/>
      <c r="EX46" s="164"/>
      <c r="FH46" s="350"/>
      <c r="FI46" s="351" t="s">
        <v>574</v>
      </c>
      <c r="FJ46" s="351" t="s">
        <v>48</v>
      </c>
      <c r="FL46" s="350"/>
      <c r="FM46" s="351" t="s">
        <v>574</v>
      </c>
      <c r="FN46" s="351" t="s">
        <v>48</v>
      </c>
      <c r="FO46" s="357"/>
      <c r="FP46" s="357"/>
      <c r="FQ46" s="357"/>
      <c r="FR46" s="357"/>
      <c r="FW46" s="363" t="s">
        <v>141</v>
      </c>
      <c r="FX46" s="28">
        <f>J14</f>
        <v>0</v>
      </c>
      <c r="FY46" s="50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K46" s="22"/>
      <c r="GL46" s="22"/>
      <c r="GM46" s="22"/>
      <c r="GN46" s="22" t="s">
        <v>401</v>
      </c>
      <c r="GO46" s="22" t="s">
        <v>472</v>
      </c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</row>
    <row r="47" spans="1:209" ht="12" customHeight="1">
      <c r="A47" s="111"/>
      <c r="B47" s="106">
        <v>37</v>
      </c>
      <c r="C47" s="674"/>
      <c r="D47" s="671"/>
      <c r="E47" s="668" t="s">
        <v>12</v>
      </c>
      <c r="F47" s="667" t="s">
        <v>12</v>
      </c>
      <c r="G47" s="670" t="s">
        <v>394</v>
      </c>
      <c r="H47" s="669"/>
      <c r="I47" s="108" t="str">
        <f t="shared" si="28"/>
        <v>L1</v>
      </c>
      <c r="J47" s="669"/>
      <c r="K47" s="670" t="s">
        <v>394</v>
      </c>
      <c r="L47" s="667" t="s">
        <v>12</v>
      </c>
      <c r="M47" s="668" t="s">
        <v>12</v>
      </c>
      <c r="N47" s="671"/>
      <c r="O47" s="672"/>
      <c r="P47" s="106">
        <v>38</v>
      </c>
      <c r="Q47" s="110"/>
      <c r="S47" s="133">
        <f>IF($H$5&gt;36,1,0)</f>
        <v>1</v>
      </c>
      <c r="T47" s="126">
        <f t="shared" si="29"/>
        <v>0</v>
      </c>
      <c r="U47" s="126" t="str">
        <f>IF($H$8=1,"L1","L1")</f>
        <v>L1</v>
      </c>
      <c r="W47" s="133">
        <f>IF(T47=0,0,(H47+J47))</f>
        <v>0</v>
      </c>
      <c r="Z47" s="133">
        <f>IF(T47=0,0,IF(G47="G",H47,0))</f>
        <v>0</v>
      </c>
      <c r="AA47" s="133">
        <f>IF(T47=0,0,IF(K47="G",J47,0))</f>
        <v>0</v>
      </c>
      <c r="AF47" s="126">
        <f>IF(T47=0,0,IF(G47="D",H47,0))</f>
        <v>0</v>
      </c>
      <c r="AG47" s="126">
        <f>IF(T47=0,0,IF(K47="D",J47,0))</f>
        <v>0</v>
      </c>
      <c r="AL47" s="126">
        <f>IF(T47=0,0,IF(G47="C",H47,0))</f>
        <v>0</v>
      </c>
      <c r="AM47" s="126">
        <f>IF(T47=0,0,IF(K47="C",J47,0))</f>
        <v>0</v>
      </c>
      <c r="AR47" s="133">
        <f t="shared" si="26"/>
        <v>0</v>
      </c>
      <c r="AS47" s="133">
        <f t="shared" si="27"/>
        <v>0</v>
      </c>
      <c r="AT47" s="133">
        <f>IF(T47=0,0,IF(G47="M",H47,0))</f>
        <v>0</v>
      </c>
      <c r="AU47" s="133">
        <f>IF(T47=0,0,IF(K47="M",J47,0))</f>
        <v>0</v>
      </c>
      <c r="BA47" s="133">
        <f>IF(T47=0,0,IF(G47="K",H47,0))</f>
        <v>0</v>
      </c>
      <c r="BB47" s="133">
        <f>IF(T47=0,0,IF(K47="K",J47,0))</f>
        <v>0</v>
      </c>
      <c r="BC47" s="133"/>
      <c r="BD47" s="133"/>
      <c r="BE47" s="133"/>
      <c r="BF47" s="133"/>
      <c r="BG47" s="126">
        <f>IF(T47=0,0,IF(E47="N",H47,0))</f>
        <v>0</v>
      </c>
      <c r="BH47" s="133">
        <f>IF(T47=0,0,IF(M47="N",J47,0))</f>
        <v>0</v>
      </c>
      <c r="BK47" s="133">
        <f>IF(T47=0,0,IF(E47="N",H47,0))</f>
        <v>0</v>
      </c>
      <c r="BL47" s="133">
        <f>IF(T47=0,0,IF(M47="N",J47,0))</f>
        <v>0</v>
      </c>
      <c r="BM47" s="133"/>
      <c r="BN47" s="133"/>
      <c r="BO47" s="133">
        <f>IF(T47=0,0,IF(E47="N",H47,0))</f>
        <v>0</v>
      </c>
      <c r="BP47" s="133">
        <f>IF(T47=0,0,IF(M47="N",J47,0))</f>
        <v>0</v>
      </c>
      <c r="BQ47" s="133"/>
      <c r="BR47" s="133"/>
      <c r="BS47" s="133"/>
      <c r="BT47" s="133"/>
      <c r="BU47" s="133"/>
      <c r="BV47" s="133"/>
      <c r="BW47" s="133"/>
      <c r="BY47" s="130"/>
      <c r="BZ47" s="130"/>
      <c r="CA47" s="128">
        <v>3</v>
      </c>
      <c r="CB47" s="129">
        <f>IF(SUM(CC46)=0,CC47,0)</f>
        <v>0</v>
      </c>
      <c r="CC47" s="129">
        <f>IF(H$5&lt;4,0,IF(G30="G",0,IF(G30="C",0,IF(G30="M",0,IF(G30="K",0,IF(AND(OR($H$11="FULL",$H$11="AUTO"),OR($H$8=1,$H$8="3Y"),G30="D"),0,3))))))</f>
        <v>0</v>
      </c>
      <c r="CD47" s="128" t="str">
        <f>IF($H$11="NONE","ENTER CIRCUIT #3 LOAD IDENTIFIER  ( G, C, M, K )",IF($H$8="3D","ENTER CIRCUIT #3 LOAD IDENTIFIER  ( G, C, M, K )","ENTER CIRCUIT #3 LOAD IDENTIFIER  ( G, D, C, M, K )"))</f>
        <v>ENTER CIRCUIT #3 LOAD IDENTIFIER  ( G, D, C, M, K )</v>
      </c>
      <c r="CE47" s="129">
        <f>IF(SUM(CF46)=0,CF47,0)</f>
        <v>0</v>
      </c>
      <c r="CF47" s="129">
        <f>IF(H$5&lt;4,0,IF(ISBLANK(F30)=TRUE,3,IF(F30=" ",0,IF(F30="H",0,3))))</f>
        <v>0</v>
      </c>
      <c r="CG47" s="128" t="s">
        <v>91</v>
      </c>
      <c r="CH47" s="129">
        <f>IF(SUM(CH46)=0,CI47,0)</f>
        <v>0</v>
      </c>
      <c r="CI47" s="132">
        <f>IF($H$5&lt;4,0,IF(ISBLANK($E30)=TRUE,3,IF($E30=" ",0,IF(AND($H$8&lt;&gt;"3D",$E30="N"),0,3))))</f>
        <v>0</v>
      </c>
      <c r="CJ47" s="128" t="str">
        <f>IF($H$8&lt;&gt;"3D","ENTER CIRCUIT #3 NEUTRAL IDENTIFIER  ( N or SPACE )","ENTER CIRCUIT #3 NEUTRAL IDENTIFIER  ( SPACE )")</f>
        <v>ENTER CIRCUIT #3 NEUTRAL IDENTIFIER  ( N or SPACE )</v>
      </c>
      <c r="CK47" s="128"/>
      <c r="CL47" s="128"/>
      <c r="CM47" s="128"/>
      <c r="CN47" s="128"/>
      <c r="CO47" s="128"/>
      <c r="CP47" s="128"/>
      <c r="CQ47" s="28"/>
      <c r="CX47" s="57">
        <f t="shared" si="21"/>
        <v>1350.00001</v>
      </c>
      <c r="CY47" s="24"/>
      <c r="CZ47" s="22"/>
      <c r="DA47" s="57">
        <f t="shared" si="8"/>
        <v>1550</v>
      </c>
      <c r="DB47" s="57">
        <f>DB31*DE47</f>
        <v>1550</v>
      </c>
      <c r="DC47" s="57" t="s">
        <v>116</v>
      </c>
      <c r="DD47" s="57">
        <v>18</v>
      </c>
      <c r="DE47" s="57">
        <v>5</v>
      </c>
      <c r="DF47" s="57"/>
      <c r="DG47" s="57"/>
      <c r="DH47" s="57"/>
      <c r="DI47" s="27"/>
      <c r="DJ47" s="27"/>
      <c r="DK47" s="27"/>
      <c r="DL47" s="27"/>
      <c r="DN47" s="22"/>
      <c r="DV47" s="78" t="s">
        <v>144</v>
      </c>
      <c r="DW47" s="28" t="str">
        <f>CY6</f>
        <v>AL</v>
      </c>
      <c r="DX47" s="50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J47" s="22"/>
      <c r="EK47" s="22"/>
      <c r="EL47" s="22"/>
      <c r="EM47" s="22"/>
      <c r="EN47" s="22"/>
      <c r="EO47" s="22"/>
      <c r="EP47" s="22"/>
      <c r="EQ47" s="165">
        <v>2</v>
      </c>
      <c r="ER47" s="166">
        <v>1</v>
      </c>
      <c r="ES47" s="167" t="s">
        <v>134</v>
      </c>
      <c r="ET47" s="168">
        <f t="shared" si="40"/>
        <v>0.80800000000000005</v>
      </c>
      <c r="EU47" s="166" t="s">
        <v>135</v>
      </c>
      <c r="EV47" s="166">
        <f>IF(EK$59&gt;1,ER47/ET47,0)</f>
        <v>0</v>
      </c>
      <c r="EW47" s="166"/>
      <c r="EX47" s="169"/>
      <c r="FG47" s="352">
        <v>0</v>
      </c>
      <c r="FH47" s="352">
        <v>0</v>
      </c>
      <c r="FI47" s="353">
        <v>15</v>
      </c>
      <c r="FJ47" s="352">
        <f>IF(ROUND(FI47*1000/FJ$2,0)&gt;400,400,ROUND(FI47*1000/FJ$2,0))</f>
        <v>63</v>
      </c>
      <c r="FK47" s="352">
        <v>0</v>
      </c>
      <c r="FL47" s="354">
        <v>0</v>
      </c>
      <c r="FM47" s="353">
        <v>25</v>
      </c>
      <c r="FN47" s="352">
        <f>IF(ROUND(FM47*1000/FJ$2/1.732,0)&gt;400,400,ROUND(FM47*1000/FJ$2/1.732,0))</f>
        <v>60</v>
      </c>
      <c r="FW47" s="363" t="s">
        <v>144</v>
      </c>
      <c r="FX47" s="28">
        <f>J15</f>
        <v>0</v>
      </c>
      <c r="FY47" s="50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K47" s="22"/>
      <c r="GL47" s="24" t="s">
        <v>771</v>
      </c>
      <c r="GM47" s="22"/>
      <c r="GN47" s="290">
        <f>ROUND(MAX('S-Calcs'!F27:J27),1)</f>
        <v>0</v>
      </c>
      <c r="GO47" s="22">
        <f>ROUND(MAX('S-Calcs'!F27:L27),1)</f>
        <v>0</v>
      </c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</row>
    <row r="48" spans="1:209" ht="12" customHeight="1">
      <c r="A48" s="111"/>
      <c r="B48" s="106">
        <v>39</v>
      </c>
      <c r="C48" s="674"/>
      <c r="D48" s="671"/>
      <c r="E48" s="668" t="s">
        <v>12</v>
      </c>
      <c r="F48" s="667" t="s">
        <v>12</v>
      </c>
      <c r="G48" s="670" t="s">
        <v>394</v>
      </c>
      <c r="H48" s="669"/>
      <c r="I48" s="108" t="str">
        <f t="shared" si="28"/>
        <v>L2</v>
      </c>
      <c r="J48" s="669"/>
      <c r="K48" s="670" t="s">
        <v>394</v>
      </c>
      <c r="L48" s="667" t="s">
        <v>12</v>
      </c>
      <c r="M48" s="668" t="s">
        <v>12</v>
      </c>
      <c r="N48" s="671"/>
      <c r="O48" s="672"/>
      <c r="P48" s="106">
        <v>40</v>
      </c>
      <c r="Q48" s="110"/>
      <c r="S48" s="133">
        <f>IF($H$5&gt;38,1,0)</f>
        <v>1</v>
      </c>
      <c r="T48" s="126">
        <f t="shared" si="29"/>
        <v>0</v>
      </c>
      <c r="U48" s="126" t="str">
        <f>IF($H$8=1,"L2","L2")</f>
        <v>L2</v>
      </c>
      <c r="X48" s="133">
        <f>IF(T48=0,0,(H48+J48))</f>
        <v>0</v>
      </c>
      <c r="AB48" s="133">
        <f>IF(T48=0,0,IF(G48="G",H48,0))</f>
        <v>0</v>
      </c>
      <c r="AC48" s="133">
        <f>IF(T48=0,0,IF(K48="G",J48,0))</f>
        <v>0</v>
      </c>
      <c r="AH48" s="126">
        <f>IF(T48=0,0,IF(G48="D",H48,0))</f>
        <v>0</v>
      </c>
      <c r="AI48" s="126">
        <f>IF(T48=0,0,IF(K48="D",J48,0))</f>
        <v>0</v>
      </c>
      <c r="AN48" s="126">
        <f>IF(T48=0,0,IF(G48="C",H48,0))</f>
        <v>0</v>
      </c>
      <c r="AO48" s="126">
        <f>IF(T48=0,0,IF(K48="C",J48,0))</f>
        <v>0</v>
      </c>
      <c r="AR48" s="133">
        <f t="shared" si="26"/>
        <v>0</v>
      </c>
      <c r="AS48" s="133">
        <f t="shared" si="27"/>
        <v>0</v>
      </c>
      <c r="AV48" s="133">
        <f>IF(T48=0,0,IF(G48="M",H48,0))</f>
        <v>0</v>
      </c>
      <c r="AW48" s="133">
        <f>IF(T48=0,0,IF(K48="M",J48,0))</f>
        <v>0</v>
      </c>
      <c r="BA48" s="133"/>
      <c r="BB48" s="133"/>
      <c r="BC48" s="133">
        <f>IF(T48=0,0,IF(G48="K",H48,0))</f>
        <v>0</v>
      </c>
      <c r="BD48" s="133">
        <f>IF(T48=0,0,IF(K48="K",J48,0))</f>
        <v>0</v>
      </c>
      <c r="BE48" s="133"/>
      <c r="BF48" s="133"/>
      <c r="BK48" s="133"/>
      <c r="BL48" s="133"/>
      <c r="BM48" s="133">
        <f>IF(T48=0,0,IF(E48="N",H48,0))</f>
        <v>0</v>
      </c>
      <c r="BN48" s="133">
        <f>IF(T48=0,0,IF(M48="N",J48,0))</f>
        <v>0</v>
      </c>
      <c r="BO48" s="133"/>
      <c r="BP48" s="133"/>
      <c r="BQ48" s="133">
        <f>IF(T48=0,0,IF(E48="N",H48,0))</f>
        <v>0</v>
      </c>
      <c r="BR48" s="133">
        <f>IF(T48=0,0,IF(M48="N",J48,0))</f>
        <v>0</v>
      </c>
      <c r="BS48" s="133"/>
      <c r="BT48" s="133"/>
      <c r="BU48" s="133"/>
      <c r="BV48" s="133"/>
      <c r="BW48" s="133"/>
      <c r="BY48" s="130"/>
      <c r="BZ48" s="130"/>
      <c r="CA48" s="128">
        <v>5</v>
      </c>
      <c r="CB48" s="129">
        <f>IF(SUM(CB46:CB47)=0,CC48,0)</f>
        <v>0</v>
      </c>
      <c r="CC48" s="129">
        <f>IF(H$5&lt;6,0,IF(G31="G",0,IF(G31="C",0,IF(G31="M",0,IF(G31="K",0,IF(AND(OR($H$11="FULL",$H$11="AUTO"),G31="D"),0,5))))))</f>
        <v>0</v>
      </c>
      <c r="CD48" s="128" t="str">
        <f>IF($H$11="NONE","ENTER CIRCUIT #5 LOAD IDENTIFIER  ( G, C, M, K )","ENTER CIRCUIT #5 LOAD IDENTIFIER  ( G, D, C, M, K )")</f>
        <v>ENTER CIRCUIT #5 LOAD IDENTIFIER  ( G, D, C, M, K )</v>
      </c>
      <c r="CE48" s="129">
        <f>IF(SUM(CE46:CE47)=0,CF48,0)</f>
        <v>0</v>
      </c>
      <c r="CF48" s="129">
        <f>IF(H$5&lt;6,0,IF(ISBLANK(F31)=TRUE,5,IF(F31=" ",0,IF(F31="H",0,5))))</f>
        <v>0</v>
      </c>
      <c r="CG48" s="128" t="s">
        <v>94</v>
      </c>
      <c r="CH48" s="129">
        <f>IF(SUM(CH$46:CH47)=0,CI48,0)</f>
        <v>0</v>
      </c>
      <c r="CI48" s="132">
        <f>IF($H$5&lt;6,0,IF(ISBLANK($E31)=TRUE,5,IF($E31="N",0,IF($E31=" ",0,5))))</f>
        <v>0</v>
      </c>
      <c r="CJ48" s="128" t="s">
        <v>444</v>
      </c>
      <c r="CK48" s="128"/>
      <c r="CL48" s="128"/>
      <c r="CM48" s="128"/>
      <c r="CN48" s="128"/>
      <c r="CO48" s="128"/>
      <c r="CP48" s="128"/>
      <c r="CQ48" s="32"/>
      <c r="CX48" s="62">
        <f t="shared" si="21"/>
        <v>1550.00001</v>
      </c>
      <c r="CY48" s="24"/>
      <c r="CZ48" s="22"/>
      <c r="DA48" s="62">
        <f t="shared" si="8"/>
        <v>1620</v>
      </c>
      <c r="DB48" s="62">
        <f>DB30*DE48</f>
        <v>1620</v>
      </c>
      <c r="DC48" s="62" t="s">
        <v>114</v>
      </c>
      <c r="DD48" s="62">
        <v>17</v>
      </c>
      <c r="DE48" s="62">
        <v>6</v>
      </c>
      <c r="DF48" s="62"/>
      <c r="DG48" s="62"/>
      <c r="DH48" s="62"/>
      <c r="DI48" s="27"/>
      <c r="DJ48" s="27"/>
      <c r="DK48" s="27"/>
      <c r="DL48" s="27"/>
      <c r="DN48" s="22"/>
      <c r="DV48" s="49" t="s">
        <v>64</v>
      </c>
      <c r="DW48" s="27">
        <f>CZ81</f>
        <v>4</v>
      </c>
      <c r="DX48" s="50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J48" s="22"/>
      <c r="EK48" s="22"/>
      <c r="EL48" s="22"/>
      <c r="EM48" s="22"/>
      <c r="EN48" s="22"/>
      <c r="EO48" s="22"/>
      <c r="EP48" s="22"/>
      <c r="EQ48" s="165">
        <v>3</v>
      </c>
      <c r="ER48" s="166">
        <v>1</v>
      </c>
      <c r="ES48" s="167" t="s">
        <v>134</v>
      </c>
      <c r="ET48" s="168">
        <f t="shared" si="40"/>
        <v>0.80800000000000005</v>
      </c>
      <c r="EU48" s="166" t="s">
        <v>135</v>
      </c>
      <c r="EV48" s="166">
        <f>IF(EK$59&gt;2,ER48/ET48,0)</f>
        <v>0</v>
      </c>
      <c r="EW48" s="166"/>
      <c r="EX48" s="169"/>
      <c r="FG48" s="353">
        <f>FJ47+0.00000001</f>
        <v>63.000000010000001</v>
      </c>
      <c r="FH48" s="353">
        <f>FI47+0.00000001</f>
        <v>15.000000010000001</v>
      </c>
      <c r="FI48" s="353">
        <v>20</v>
      </c>
      <c r="FJ48" s="353">
        <f t="shared" ref="FJ48:FJ56" si="41">IF(ROUND(FI48*1000/FJ$2,0)&gt;400,400,ROUND(FI48*1000/FJ$2,0))</f>
        <v>83</v>
      </c>
      <c r="FK48" s="353">
        <f>FN47+0.00000001</f>
        <v>60.000000010000001</v>
      </c>
      <c r="FL48" s="354">
        <v>25.000000100000001</v>
      </c>
      <c r="FM48" s="353">
        <v>30</v>
      </c>
      <c r="FN48" s="353">
        <f t="shared" ref="FN48:FN56" si="42">IF(ROUND(FM48*1000/FJ$2/1.732,0)&gt;400,400,ROUND(FM48*1000/FJ$2/1.732,0))</f>
        <v>72</v>
      </c>
      <c r="FW48" s="364" t="s">
        <v>64</v>
      </c>
      <c r="FX48" s="27">
        <f>CZ107</f>
        <v>4</v>
      </c>
      <c r="FY48" s="50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K48" s="22"/>
      <c r="GL48" s="24" t="s">
        <v>772</v>
      </c>
      <c r="GM48" s="22"/>
      <c r="GN48" s="31">
        <f>'S-Input'!H6</f>
        <v>240</v>
      </c>
      <c r="GO48" s="31">
        <f>'S-Input'!H6</f>
        <v>240</v>
      </c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</row>
    <row r="49" spans="1:208" ht="12" customHeight="1">
      <c r="A49" s="92"/>
      <c r="B49" s="106">
        <v>41</v>
      </c>
      <c r="C49" s="674"/>
      <c r="D49" s="671"/>
      <c r="E49" s="668" t="s">
        <v>12</v>
      </c>
      <c r="F49" s="667" t="s">
        <v>12</v>
      </c>
      <c r="G49" s="670" t="s">
        <v>394</v>
      </c>
      <c r="H49" s="669"/>
      <c r="I49" s="108" t="str">
        <f t="shared" si="28"/>
        <v>L1</v>
      </c>
      <c r="J49" s="669"/>
      <c r="K49" s="670" t="s">
        <v>394</v>
      </c>
      <c r="L49" s="667" t="s">
        <v>12</v>
      </c>
      <c r="M49" s="668" t="s">
        <v>12</v>
      </c>
      <c r="N49" s="671"/>
      <c r="O49" s="672"/>
      <c r="P49" s="106">
        <v>42</v>
      </c>
      <c r="Q49" s="110"/>
      <c r="S49" s="133">
        <f>IF($H$5&gt;40,1,0)</f>
        <v>1</v>
      </c>
      <c r="T49" s="126">
        <f t="shared" si="29"/>
        <v>0</v>
      </c>
      <c r="U49" s="126" t="str">
        <f>IF($H$8=1,"L1","L3")</f>
        <v>L1</v>
      </c>
      <c r="W49" s="133">
        <f>IF(T49=0,0,IF($H$8=1,(H49+J49)," "))</f>
        <v>0</v>
      </c>
      <c r="Y49" s="133">
        <f>IF(T49=0,0,IF($H$8=1," ",(H49+J49)))</f>
        <v>0</v>
      </c>
      <c r="Z49" s="133">
        <f>IF($H$8=1,IF(T49=0,0,IF(G49="G",H49,0))," ")</f>
        <v>0</v>
      </c>
      <c r="AA49" s="133">
        <f>IF($H$8=1,IF(T49=0,0,IF(K49="G",J49,0))," ")</f>
        <v>0</v>
      </c>
      <c r="AD49" s="133" t="str">
        <f>IF($H$8=1," ",IF(T49=0,0,IF(G49="G",H49,0)))</f>
        <v xml:space="preserve"> </v>
      </c>
      <c r="AE49" s="133" t="str">
        <f>IF($H$8=1," ",IF(T49=0,0,IF(K49="G",J49,0)))</f>
        <v xml:space="preserve"> </v>
      </c>
      <c r="AF49" s="126">
        <f>IF($H$8=1,IF(T49=0,0,IF(G49="D",H49,0))," ")</f>
        <v>0</v>
      </c>
      <c r="AG49" s="126">
        <f>IF($H$8=1,IF(T49=0,0,IF(K49="D",J49,0))," ")</f>
        <v>0</v>
      </c>
      <c r="AJ49" s="126" t="str">
        <f>IF($H$8=1," ",IF(T49=0,0,IF(G49="D",H49,0)))</f>
        <v xml:space="preserve"> </v>
      </c>
      <c r="AK49" s="126" t="str">
        <f>IF($H$8=1," ",IF(T49=0,0,IF(K49="D",J49,0)))</f>
        <v xml:space="preserve"> </v>
      </c>
      <c r="AL49" s="126">
        <f>IF($H$8=1,IF(T49=0,0,IF(G49="C",H49,0))," ")</f>
        <v>0</v>
      </c>
      <c r="AM49" s="126">
        <f>IF($H$8=1,IF(T49=0,0,IF(K49="C",J49,0))," ")</f>
        <v>0</v>
      </c>
      <c r="AP49" s="126" t="str">
        <f>IF($H$8=1," ",IF(T49=0,0,IF(G49="C",H49,0)))</f>
        <v xml:space="preserve"> </v>
      </c>
      <c r="AQ49" s="126" t="str">
        <f>IF($H$8=1," ",IF(T49=0,0,IF(K49="C",J49,0)))</f>
        <v xml:space="preserve"> </v>
      </c>
      <c r="AR49" s="133">
        <f t="shared" si="26"/>
        <v>0</v>
      </c>
      <c r="AS49" s="133">
        <f t="shared" si="27"/>
        <v>0</v>
      </c>
      <c r="AT49" s="133">
        <f>IF(T49=0,0,IF($H$8=1,IF(G49="M",H49,0)," "))</f>
        <v>0</v>
      </c>
      <c r="AU49" s="133">
        <f>IF(T49=0,0,IF($H$8=1,IF(K49="M",J49,0)," "))</f>
        <v>0</v>
      </c>
      <c r="AX49" s="133">
        <f>IF(T49=0,0,IF($H$8=1," ",IF(G49="M",H49,0)))</f>
        <v>0</v>
      </c>
      <c r="AY49" s="133">
        <f>IF(T49=0,0,IF($H$8=1," ",IF(K49="M",J49,0)))</f>
        <v>0</v>
      </c>
      <c r="BA49" s="133">
        <f>IF(T49=0,0,IF($H$8=1,IF(G49="K",H49,0)," "))</f>
        <v>0</v>
      </c>
      <c r="BB49" s="133">
        <f>IF(T49=0,0,IF($H$8=1,IF(K49="K",J49,0)," "))</f>
        <v>0</v>
      </c>
      <c r="BC49" s="133"/>
      <c r="BD49" s="133"/>
      <c r="BE49" s="133">
        <f>IF(T49=0,0,IF($H$8=1," ",IF(G49="K",H49,0)))</f>
        <v>0</v>
      </c>
      <c r="BF49" s="133">
        <f>IF(T49=0,0,IF($H$8=1," ",IF(K49="K",J49,0)))</f>
        <v>0</v>
      </c>
      <c r="BG49" s="126"/>
      <c r="BI49" s="133">
        <f>IF(T49=0,0,IF(E49="N",H49,0))</f>
        <v>0</v>
      </c>
      <c r="BJ49" s="133">
        <f>IF(T49=0,0,IF(M49="N",J49,0))</f>
        <v>0</v>
      </c>
      <c r="BK49" s="133">
        <f>IF(T49=0,0,IF(E49="N",H49,0))</f>
        <v>0</v>
      </c>
      <c r="BL49" s="133">
        <f>IF(T49=0,0,IF(M49="N",J49,0))</f>
        <v>0</v>
      </c>
      <c r="BM49" s="133"/>
      <c r="BN49" s="133"/>
      <c r="BO49" s="133"/>
      <c r="BP49" s="133"/>
      <c r="BQ49" s="133"/>
      <c r="BR49" s="133"/>
      <c r="BS49" s="133">
        <f>IF(T49=0,0,IF(E49="N",H49,0))</f>
        <v>0</v>
      </c>
      <c r="BT49" s="133">
        <f>IF(T49=0,0,IF(M49="N",J49,0))</f>
        <v>0</v>
      </c>
      <c r="BU49" s="133"/>
      <c r="BV49" s="133"/>
      <c r="BW49" s="133"/>
      <c r="BY49" s="130"/>
      <c r="BZ49" s="130"/>
      <c r="CA49" s="128">
        <v>7</v>
      </c>
      <c r="CB49" s="129">
        <f>IF(SUM(CB$46:CB48)=0,CC49,0)</f>
        <v>0</v>
      </c>
      <c r="CC49" s="129">
        <f>IF(H$5&lt;8,0,IF(G32="G",0,IF(G32="C",0,IF(G32="M",0,IF(G32="K",0,IF(AND(OR($H$11="FULL",$H$11="AUTO"),G32="D"),0,7))))))</f>
        <v>0</v>
      </c>
      <c r="CD49" s="128" t="str">
        <f>IF($H$11="NONE","ENTER CIRCUIT #7 LOAD IDENTIFIER  ( G, C, M, K )","ENTER CIRCUIT #7 LOAD IDENTIFIER  ( G, D, C, M, K )")</f>
        <v>ENTER CIRCUIT #7 LOAD IDENTIFIER  ( G, D, C, M, K )</v>
      </c>
      <c r="CE49" s="129">
        <f>IF(SUM(CE$46:CE48)=0,CF49,0)</f>
        <v>0</v>
      </c>
      <c r="CF49" s="129">
        <f>IF(H$5&lt;8,0,IF(ISBLANK(F32)=TRUE,7,IF(F32=" ",0,IF(F32="H",0,7))))</f>
        <v>0</v>
      </c>
      <c r="CG49" s="128" t="s">
        <v>99</v>
      </c>
      <c r="CH49" s="129">
        <f>IF(SUM(CH$46:CH48)=0,CI49,0)</f>
        <v>0</v>
      </c>
      <c r="CI49" s="132">
        <f>IF($H$5&lt;8,0,IF(ISBLANK($E32)=TRUE,7,IF($E32="N",0,IF($E32=" ",0,7))))</f>
        <v>0</v>
      </c>
      <c r="CJ49" s="128" t="s">
        <v>445</v>
      </c>
      <c r="CK49" s="128"/>
      <c r="CL49" s="128"/>
      <c r="CM49" s="128"/>
      <c r="CN49" s="128"/>
      <c r="CO49" s="128"/>
      <c r="CP49" s="128"/>
      <c r="CQ49" s="32"/>
      <c r="CX49" s="57">
        <f t="shared" si="21"/>
        <v>1620.00001</v>
      </c>
      <c r="CY49" s="24"/>
      <c r="CZ49" s="22"/>
      <c r="DA49" s="57">
        <f t="shared" si="8"/>
        <v>1860</v>
      </c>
      <c r="DB49" s="57">
        <f>DB31*DE49</f>
        <v>1860</v>
      </c>
      <c r="DC49" s="57" t="s">
        <v>116</v>
      </c>
      <c r="DD49" s="57">
        <v>18</v>
      </c>
      <c r="DE49" s="57">
        <v>6</v>
      </c>
      <c r="DF49" s="57"/>
      <c r="DG49" s="57"/>
      <c r="DH49" s="57"/>
      <c r="DI49" s="27"/>
      <c r="DJ49" s="27"/>
      <c r="DK49" s="27"/>
      <c r="DL49" s="27"/>
      <c r="DN49" s="22"/>
      <c r="DV49" s="49" t="s">
        <v>147</v>
      </c>
      <c r="DW49" s="27" t="str">
        <f>CY10</f>
        <v>Y</v>
      </c>
      <c r="DX49" s="50">
        <f>IF(DW49="FULL",1,0)</f>
        <v>0</v>
      </c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J49" s="22"/>
      <c r="EK49" s="22"/>
      <c r="EL49" s="22"/>
      <c r="EM49" s="22"/>
      <c r="EN49" s="22"/>
      <c r="EO49" s="22"/>
      <c r="EP49" s="22"/>
      <c r="EQ49" s="165">
        <v>4</v>
      </c>
      <c r="ER49" s="166">
        <v>1</v>
      </c>
      <c r="ES49" s="167" t="s">
        <v>134</v>
      </c>
      <c r="ET49" s="168">
        <f t="shared" si="40"/>
        <v>0.80800000000000005</v>
      </c>
      <c r="EU49" s="166" t="s">
        <v>135</v>
      </c>
      <c r="EV49" s="166">
        <f>IF(EK$59&gt;3,ER49/ET49,0)</f>
        <v>0</v>
      </c>
      <c r="EW49" s="166"/>
      <c r="EX49" s="169"/>
      <c r="FG49" s="353">
        <f t="shared" ref="FG49:FG56" si="43">FJ48+0.00000001</f>
        <v>83.000000009999994</v>
      </c>
      <c r="FH49" s="353">
        <f t="shared" ref="FH49:FH54" si="44">FI48+0.00000001</f>
        <v>20.000000010000001</v>
      </c>
      <c r="FI49" s="353">
        <v>25</v>
      </c>
      <c r="FJ49" s="353">
        <f t="shared" si="41"/>
        <v>104</v>
      </c>
      <c r="FK49" s="353">
        <f t="shared" ref="FK49:FK56" si="45">FN48+0.00000001</f>
        <v>72.000000009999994</v>
      </c>
      <c r="FL49" s="354">
        <v>30.000000100000001</v>
      </c>
      <c r="FM49" s="353">
        <v>37.5</v>
      </c>
      <c r="FN49" s="353">
        <f t="shared" si="42"/>
        <v>90</v>
      </c>
      <c r="FW49" s="364" t="s">
        <v>147</v>
      </c>
      <c r="FX49" s="27" t="s">
        <v>308</v>
      </c>
      <c r="FY49" s="50">
        <v>0</v>
      </c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K49" s="22"/>
      <c r="GL49" s="24" t="s">
        <v>90</v>
      </c>
      <c r="GM49" s="22"/>
      <c r="GN49" s="31">
        <f>ROUND(GN47*GN48,0)</f>
        <v>0</v>
      </c>
      <c r="GO49" s="31">
        <f>ROUND(GO47*GO48*1.732,0)</f>
        <v>0</v>
      </c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</row>
    <row r="50" spans="1:208" ht="12" customHeight="1">
      <c r="A50" s="92"/>
      <c r="B50" s="106">
        <v>43</v>
      </c>
      <c r="C50" s="674"/>
      <c r="D50" s="671"/>
      <c r="E50" s="668" t="s">
        <v>12</v>
      </c>
      <c r="F50" s="667" t="s">
        <v>12</v>
      </c>
      <c r="G50" s="670" t="s">
        <v>394</v>
      </c>
      <c r="H50" s="669"/>
      <c r="I50" s="108" t="str">
        <f t="shared" si="28"/>
        <v>L2</v>
      </c>
      <c r="J50" s="669"/>
      <c r="K50" s="670" t="s">
        <v>394</v>
      </c>
      <c r="L50" s="667" t="s">
        <v>12</v>
      </c>
      <c r="M50" s="668" t="s">
        <v>12</v>
      </c>
      <c r="N50" s="671"/>
      <c r="O50" s="672"/>
      <c r="P50" s="106">
        <v>44</v>
      </c>
      <c r="Q50" s="92"/>
      <c r="S50" s="133">
        <f>IF($H$5&gt;42,1,0)</f>
        <v>1</v>
      </c>
      <c r="T50" s="126">
        <f t="shared" si="29"/>
        <v>0</v>
      </c>
      <c r="U50" s="126" t="str">
        <f>IF($H$8=1,"L2","L1")</f>
        <v>L2</v>
      </c>
      <c r="W50" s="133">
        <f>IF(T50=0,0,IF($H$8=1," ",(H50+J50)))</f>
        <v>0</v>
      </c>
      <c r="X50" s="133">
        <f>IF(T50=0,0,IF($H$8=1,(H50+J50)," "))</f>
        <v>0</v>
      </c>
      <c r="Z50" s="133" t="str">
        <f>IF($H$8=1," ",IF(T50=0,0,IF(G50="G",H50,0)))</f>
        <v xml:space="preserve"> </v>
      </c>
      <c r="AA50" s="133" t="str">
        <f>IF($H$8=1," ",IF(T50=0,0,IF(K50="G",J50,0)))</f>
        <v xml:space="preserve"> </v>
      </c>
      <c r="AB50" s="133">
        <f>IF($H$8=1,IF(T50=0,0,IF(G50="G",H50,0))," ")</f>
        <v>0</v>
      </c>
      <c r="AC50" s="133">
        <f>IF($H$8=1,IF(T50=0,0,IF(K50="G",J50,0))," ")</f>
        <v>0</v>
      </c>
      <c r="AF50" s="126" t="str">
        <f>IF($H$8=1," ",IF(T50=0,0,IF(G50="D",H50,0)))</f>
        <v xml:space="preserve"> </v>
      </c>
      <c r="AG50" s="126" t="str">
        <f>IF($H$8=1," ",IF(T50=0,0,IF(K50="D",J50,0)))</f>
        <v xml:space="preserve"> </v>
      </c>
      <c r="AH50" s="126">
        <f>IF($H$8=1,IF(T50=0,0,IF(G50="D",H50,0))," ")</f>
        <v>0</v>
      </c>
      <c r="AI50" s="126">
        <f>IF($H$8=1,IF(T50=0,0,IF(K50="D",J50,0))," ")</f>
        <v>0</v>
      </c>
      <c r="AL50" s="126" t="str">
        <f>IF($H$8=1," ",IF(T50=0,0,IF(G50="C",H50,0)))</f>
        <v xml:space="preserve"> </v>
      </c>
      <c r="AM50" s="126" t="str">
        <f>IF($H$8=1," ",IF(T50=0,0,IF(K50="C",J50,0)))</f>
        <v xml:space="preserve"> </v>
      </c>
      <c r="AN50" s="126">
        <f>IF($H$8=1,IF(T50=0,0,IF(G50="C",H50,0))," ")</f>
        <v>0</v>
      </c>
      <c r="AO50" s="126">
        <f>IF($H$8=1,IF(T50=0,0,IF(K50="C",J50,0))," ")</f>
        <v>0</v>
      </c>
      <c r="AR50" s="133">
        <f t="shared" si="26"/>
        <v>0</v>
      </c>
      <c r="AS50" s="133">
        <f t="shared" si="27"/>
        <v>0</v>
      </c>
      <c r="AT50" s="133">
        <f>IF(T50=0,0,IF($H$8=1," ",IF(G50="M",H50,0)))</f>
        <v>0</v>
      </c>
      <c r="AU50" s="133">
        <f>IF(T50=0,0,IF($H$8=1," ",IF(K50="M",J50,0)))</f>
        <v>0</v>
      </c>
      <c r="AV50" s="133">
        <f>IF(T50=0,0,IF($H$8=1,IF(G50="M",H50,0)," "))</f>
        <v>0</v>
      </c>
      <c r="AW50" s="133">
        <f>IF(T50=0,0,IF($H$8=1,IF(K50="M",J50,0)," "))</f>
        <v>0</v>
      </c>
      <c r="BA50" s="133">
        <f>IF(T50=0,0,IF($H$8=1," ",IF(G50="K",H50,0)))</f>
        <v>0</v>
      </c>
      <c r="BB50" s="133">
        <f>IF(T50=0,0,IF($H$8=1," ",IF(K50="K",J50,0)))</f>
        <v>0</v>
      </c>
      <c r="BC50" s="133">
        <f>IF(T50=0,0,IF($H$8=1,IF(G50="K",H50,0)," "))</f>
        <v>0</v>
      </c>
      <c r="BD50" s="133">
        <f>IF(T50=0,0,IF($H$8=1,IF(K50="K",J50,0)," "))</f>
        <v>0</v>
      </c>
      <c r="BE50" s="133"/>
      <c r="BF50" s="133"/>
      <c r="BG50" s="126">
        <f>IF(T50=0,0,IF(E50="N",H50,0))</f>
        <v>0</v>
      </c>
      <c r="BH50" s="133">
        <f>IF(T50=0,0,IF(M50="N",J50,0))</f>
        <v>0</v>
      </c>
      <c r="BK50" s="133"/>
      <c r="BL50" s="133"/>
      <c r="BM50" s="133">
        <f>IF(T50=0,0,IF(E50="N",H50,0))</f>
        <v>0</v>
      </c>
      <c r="BN50" s="133">
        <f>IF(T50=0,0,IF(M50="N",J50,0))</f>
        <v>0</v>
      </c>
      <c r="BO50" s="133">
        <f>IF(T50=0,0,IF(E50="N",H50,0))</f>
        <v>0</v>
      </c>
      <c r="BP50" s="133">
        <f>IF(T50=0,0,IF(M50="N",J50,0))</f>
        <v>0</v>
      </c>
      <c r="BQ50" s="133"/>
      <c r="BR50" s="133"/>
      <c r="BS50" s="133"/>
      <c r="BT50" s="133"/>
      <c r="BU50" s="133"/>
      <c r="BV50" s="133"/>
      <c r="BW50" s="133"/>
      <c r="BY50" s="130"/>
      <c r="BZ50" s="130"/>
      <c r="CA50" s="128">
        <v>9</v>
      </c>
      <c r="CB50" s="129">
        <f>IF(SUM(CB$46:CB49)=0,CC50,0)</f>
        <v>0</v>
      </c>
      <c r="CC50" s="129">
        <f>IF(H$5&lt;10,0,IF(G33="G",0,IF(G33="C",0,IF(G33="M",0,IF(G33="K",0,IF(AND(OR($H$11="FULL",$H$11="AUTO"),OR($H$8=1,$H$8="3Y"),G33="D"),0,9))))))</f>
        <v>0</v>
      </c>
      <c r="CD50" s="128" t="str">
        <f>IF($H$11="NONE","ENTER CIRCUIT #9 LOAD IDENTIFIER  ( G, C, M, K )",IF($H$8="3D","ENTER CIRCUIT #9 LOAD IDENTIFIER  ( G, C, M, K )","ENTER CIRCUIT #9 LOAD IDENTIFIER  ( G, D, C, M, K )"))</f>
        <v>ENTER CIRCUIT #9 LOAD IDENTIFIER  ( G, D, C, M, K )</v>
      </c>
      <c r="CE50" s="129">
        <f>IF(SUM(CE$46:CE49)=0,CF50,0)</f>
        <v>0</v>
      </c>
      <c r="CF50" s="129">
        <f>IF(H$5&lt;10,0,IF(ISBLANK(F33)=TRUE,9,IF(F33=" ",0,IF(F33="H",0,9))))</f>
        <v>0</v>
      </c>
      <c r="CG50" s="128" t="s">
        <v>102</v>
      </c>
      <c r="CH50" s="129">
        <f>IF(SUM(CH$46:CH49)=0,CI50,0)</f>
        <v>0</v>
      </c>
      <c r="CI50" s="132">
        <f>IF($H$5&lt;10,0,IF(ISBLANK($E33)=TRUE,9,IF($E33=" ",0,IF(AND($H$8&lt;&gt;"3D",$E33="N"),0,9))))</f>
        <v>0</v>
      </c>
      <c r="CJ50" s="128" t="str">
        <f>IF($H$8&lt;&gt;"3D","ENTER CIRCUIT #9 NEUTRAL IDENTIFIER  ( N or SPACE )","ENTER CIRCUIT #9 NEUTRAL IDENTIFIER  ( SPACE )")</f>
        <v>ENTER CIRCUIT #9 NEUTRAL IDENTIFIER  ( N or SPACE )</v>
      </c>
      <c r="CK50" s="128"/>
      <c r="CL50" s="128"/>
      <c r="CM50" s="128"/>
      <c r="CN50" s="128"/>
      <c r="CO50" s="128"/>
      <c r="CP50" s="128"/>
      <c r="CQ50" s="32"/>
      <c r="CX50" s="73" t="s">
        <v>149</v>
      </c>
      <c r="CY50" s="79" t="s">
        <v>149</v>
      </c>
      <c r="CZ50" s="79" t="s">
        <v>149</v>
      </c>
      <c r="DA50" s="70" t="s">
        <v>149</v>
      </c>
      <c r="DB50" s="27"/>
      <c r="DC50" s="27"/>
      <c r="DD50" s="27"/>
      <c r="DE50" s="27"/>
      <c r="DF50" s="22"/>
      <c r="DG50" s="22"/>
      <c r="DH50" s="22"/>
      <c r="DI50" s="22"/>
      <c r="DJ50" s="22"/>
      <c r="DK50" s="22"/>
      <c r="DL50" s="22"/>
      <c r="DN50" s="22"/>
      <c r="DV50" s="49" t="s">
        <v>150</v>
      </c>
      <c r="DW50" s="27">
        <f>IF($H$8=1,2,IF($H$8="3D",2,IF($H$8="3Y",3)))</f>
        <v>2</v>
      </c>
      <c r="DX50" s="50">
        <f>DW50</f>
        <v>2</v>
      </c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J50" s="22"/>
      <c r="EK50" s="22"/>
      <c r="EL50" s="22"/>
      <c r="EM50" s="22"/>
      <c r="EN50" s="22"/>
      <c r="EO50" s="22"/>
      <c r="EP50" s="22"/>
      <c r="EQ50" s="165">
        <v>5</v>
      </c>
      <c r="ER50" s="166">
        <v>1</v>
      </c>
      <c r="ES50" s="167" t="s">
        <v>134</v>
      </c>
      <c r="ET50" s="168">
        <f t="shared" si="40"/>
        <v>0.80800000000000005</v>
      </c>
      <c r="EU50" s="166" t="s">
        <v>135</v>
      </c>
      <c r="EV50" s="166">
        <f>IF(EK$59&gt;4,ER50/ET50,0)</f>
        <v>0</v>
      </c>
      <c r="EW50" s="166"/>
      <c r="EX50" s="169"/>
      <c r="FG50" s="353">
        <f t="shared" si="43"/>
        <v>104.00000000999999</v>
      </c>
      <c r="FH50" s="353">
        <f t="shared" si="44"/>
        <v>25.000000010000001</v>
      </c>
      <c r="FI50" s="353">
        <v>30</v>
      </c>
      <c r="FJ50" s="353">
        <f t="shared" si="41"/>
        <v>125</v>
      </c>
      <c r="FK50" s="353">
        <f t="shared" si="45"/>
        <v>90.000000009999994</v>
      </c>
      <c r="FL50" s="354">
        <v>37.500000100000001</v>
      </c>
      <c r="FM50" s="353">
        <v>45</v>
      </c>
      <c r="FN50" s="353">
        <f t="shared" si="42"/>
        <v>108</v>
      </c>
      <c r="FW50" s="364" t="s">
        <v>150</v>
      </c>
      <c r="FX50" s="27">
        <f>IF($H$8=1,2,IF($H$8="3Y",3))</f>
        <v>2</v>
      </c>
      <c r="FY50" s="50">
        <f>FX50</f>
        <v>2</v>
      </c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K50" s="22"/>
      <c r="GL50" s="22" t="s">
        <v>773</v>
      </c>
      <c r="GM50" s="22"/>
      <c r="GN50" s="293">
        <f>Input!H6</f>
        <v>240</v>
      </c>
      <c r="GO50" s="31">
        <f>Input!H6</f>
        <v>240</v>
      </c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</row>
    <row r="51" spans="1:208" ht="12" customHeight="1">
      <c r="A51" s="92"/>
      <c r="B51" s="106">
        <v>45</v>
      </c>
      <c r="C51" s="674"/>
      <c r="D51" s="671"/>
      <c r="E51" s="668" t="s">
        <v>12</v>
      </c>
      <c r="F51" s="667" t="s">
        <v>12</v>
      </c>
      <c r="G51" s="670" t="s">
        <v>394</v>
      </c>
      <c r="H51" s="669"/>
      <c r="I51" s="108" t="str">
        <f t="shared" si="28"/>
        <v>L1</v>
      </c>
      <c r="J51" s="669"/>
      <c r="K51" s="670" t="s">
        <v>394</v>
      </c>
      <c r="L51" s="667" t="s">
        <v>12</v>
      </c>
      <c r="M51" s="668" t="s">
        <v>12</v>
      </c>
      <c r="N51" s="671"/>
      <c r="O51" s="672"/>
      <c r="P51" s="106">
        <v>46</v>
      </c>
      <c r="Q51" s="92"/>
      <c r="S51" s="133">
        <f>IF($H$5&gt;44,1,0)</f>
        <v>1</v>
      </c>
      <c r="T51" s="126">
        <f t="shared" si="29"/>
        <v>0</v>
      </c>
      <c r="U51" s="126" t="str">
        <f>IF($H$8=1,"L1","L2")</f>
        <v>L1</v>
      </c>
      <c r="W51" s="133">
        <f>IF(T51=0,0,IF($H$8=1,(H51+J51)," "))</f>
        <v>0</v>
      </c>
      <c r="X51" s="133">
        <f>IF(T51=0,0,IF($H$8=1," ",(H51+J51)))</f>
        <v>0</v>
      </c>
      <c r="Z51" s="133">
        <f>IF($H$8=1,IF(T51=0,0,IF(G51="G",H51,0))," ")</f>
        <v>0</v>
      </c>
      <c r="AA51" s="133">
        <f>IF($H$8=1,IF(T51=0,0,IF(K51="G",J51,0))," ")</f>
        <v>0</v>
      </c>
      <c r="AB51" s="133" t="str">
        <f>IF($H$8=1," ",IF(T51=0,0,IF(G51="G",H51,0)))</f>
        <v xml:space="preserve"> </v>
      </c>
      <c r="AC51" s="133" t="str">
        <f>IF($H$8=1," ",IF(T51=0,0,IF(K51="G",J51,0)))</f>
        <v xml:space="preserve"> </v>
      </c>
      <c r="AF51" s="126">
        <f>IF($H$8=1,IF(T51=0,0,IF(G51="D",H51,0))," ")</f>
        <v>0</v>
      </c>
      <c r="AG51" s="126">
        <f>IF($H$8=1,IF(T51=0,0,IF(K51="D",J51,0))," ")</f>
        <v>0</v>
      </c>
      <c r="AH51" s="126" t="str">
        <f>IF($H$8=1," ",IF(T51=0,0,IF(G51="D",H51,0)))</f>
        <v xml:space="preserve"> </v>
      </c>
      <c r="AI51" s="126" t="str">
        <f>IF($H$8=1," ",IF(T51=0,0,IF(K51="D",J51,0)))</f>
        <v xml:space="preserve"> </v>
      </c>
      <c r="AL51" s="126">
        <f>IF($H$8=1,IF(T51=0,0,IF(G51="C",H51,0))," ")</f>
        <v>0</v>
      </c>
      <c r="AM51" s="126">
        <f>IF($H$8=1,IF(T51=0,0,IF(K51="C",J51,0))," ")</f>
        <v>0</v>
      </c>
      <c r="AN51" s="126" t="str">
        <f>IF($H$8=1," ",IF(T51=0,0,IF(G51="C",H51,0)))</f>
        <v xml:space="preserve"> </v>
      </c>
      <c r="AO51" s="126" t="str">
        <f>IF($H$8=1," ",IF(T51=0,0,IF(K51="C",J51,0)))</f>
        <v xml:space="preserve"> </v>
      </c>
      <c r="AR51" s="133">
        <f t="shared" si="26"/>
        <v>0</v>
      </c>
      <c r="AS51" s="133">
        <f t="shared" si="27"/>
        <v>0</v>
      </c>
      <c r="AT51" s="133">
        <f>IF(T51=0,0,IF($H$8=1,IF(G51="M",H51,0)," "))</f>
        <v>0</v>
      </c>
      <c r="AU51" s="133">
        <f>IF(T51=0,0,IF($H$8=1,IF(K51="M",J51,0)," "))</f>
        <v>0</v>
      </c>
      <c r="AV51" s="133">
        <f>IF(T51=0,0,IF($H$8=1," ",IF(G51="M",H51,0)))</f>
        <v>0</v>
      </c>
      <c r="AW51" s="133">
        <f>IF(T51=0,0,IF($H$8=1," ",IF(K51="M",J51,0)))</f>
        <v>0</v>
      </c>
      <c r="BA51" s="133">
        <f>IF(T51=0,0,IF($H$8=1,IF(G51="K",H51,0)," "))</f>
        <v>0</v>
      </c>
      <c r="BB51" s="133">
        <f>IF(T51=0,0,IF($H$8=1,IF(K51="K",J51,0)," "))</f>
        <v>0</v>
      </c>
      <c r="BC51" s="133">
        <f>IF(T51=0,0,IF($H$8=1," ",IF(G51="K",H51,0)))</f>
        <v>0</v>
      </c>
      <c r="BD51" s="133">
        <f>IF(T51=0,0,IF($H$8=1," ",IF(K51="K",J51,0)))</f>
        <v>0</v>
      </c>
      <c r="BE51" s="133"/>
      <c r="BF51" s="133"/>
      <c r="BK51" s="133">
        <f>IF(T51=0,0,IF(E51="N",H51,0))</f>
        <v>0</v>
      </c>
      <c r="BL51" s="133">
        <f>IF(T51=0,0,IF(M51="N",J51,0))</f>
        <v>0</v>
      </c>
      <c r="BM51" s="133"/>
      <c r="BN51" s="133"/>
      <c r="BO51" s="133"/>
      <c r="BP51" s="133"/>
      <c r="BQ51" s="133">
        <f>IF(T51=0,0,IF(E51="N",H51,0))</f>
        <v>0</v>
      </c>
      <c r="BR51" s="133">
        <f>IF(T51=0,0,IF(M51="N",J51,0))</f>
        <v>0</v>
      </c>
      <c r="BS51" s="133"/>
      <c r="BT51" s="133"/>
      <c r="BU51" s="133"/>
      <c r="BV51" s="133"/>
      <c r="BW51" s="133"/>
      <c r="BY51" s="130"/>
      <c r="BZ51" s="130"/>
      <c r="CA51" s="128">
        <v>11</v>
      </c>
      <c r="CB51" s="129">
        <f>IF(SUM(CB$46:CB50)=0,CC51,0)</f>
        <v>0</v>
      </c>
      <c r="CC51" s="129">
        <f>IF(H$5&lt;12,0,IF(G34="G",0,IF(G34="C",0,IF(G34="M",0,IF(G34="K",0,IF(AND(OR($H$11="FULL",$H$11="AUTO"),G34="D"),0,11))))))</f>
        <v>0</v>
      </c>
      <c r="CD51" s="128" t="str">
        <f>IF($H$11="NONE","ENTER CIRCUIT #11 LOAD IDENTIFIER  ( G, C, M, K )","ENTER CIRCUIT #11 LOAD IDENTIFIER  ( G, D, C, M, K )")</f>
        <v>ENTER CIRCUIT #11 LOAD IDENTIFIER  ( G, D, C, M, K )</v>
      </c>
      <c r="CE51" s="129">
        <f>IF(SUM(CE$46:CE50)=0,CF51,0)</f>
        <v>0</v>
      </c>
      <c r="CF51" s="129">
        <f>IF(H$5&lt;12,0,IF(ISBLANK(F34)=TRUE,11,IF(F34=" ",0,IF(F34="H",0,11))))</f>
        <v>0</v>
      </c>
      <c r="CG51" s="128" t="s">
        <v>104</v>
      </c>
      <c r="CH51" s="129">
        <f>IF(SUM(CH$46:CH50)=0,CI51,0)</f>
        <v>0</v>
      </c>
      <c r="CI51" s="132">
        <f>IF($H$5&lt;12,0,IF(ISBLANK($E34)=TRUE,11,IF($E34="N",0,IF($E34=" ",0,11))))</f>
        <v>0</v>
      </c>
      <c r="CJ51" s="128" t="s">
        <v>446</v>
      </c>
      <c r="CK51" s="128"/>
      <c r="CL51" s="128"/>
      <c r="CM51" s="128"/>
      <c r="CN51" s="128"/>
      <c r="CO51" s="128"/>
      <c r="CP51" s="128"/>
      <c r="CQ51" s="32"/>
      <c r="CX51" s="74" t="s">
        <v>67</v>
      </c>
      <c r="CY51" s="27" t="s">
        <v>68</v>
      </c>
      <c r="CZ51" s="27" t="s">
        <v>68</v>
      </c>
      <c r="DA51" s="75" t="s">
        <v>68</v>
      </c>
      <c r="DB51" s="27"/>
      <c r="DC51" s="27"/>
      <c r="DD51" s="27"/>
      <c r="DE51" s="27"/>
      <c r="DF51" s="22"/>
      <c r="DG51" s="22"/>
      <c r="DH51" s="22"/>
      <c r="DI51" s="22"/>
      <c r="DJ51" s="22"/>
      <c r="DK51" s="22"/>
      <c r="DL51" s="22"/>
      <c r="DN51" s="22"/>
      <c r="DV51" s="49" t="s">
        <v>152</v>
      </c>
      <c r="DW51" s="27"/>
      <c r="DX51" s="50">
        <f>DX49+DX50</f>
        <v>2</v>
      </c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J51" s="22"/>
      <c r="EK51" s="22"/>
      <c r="EL51" s="22"/>
      <c r="EM51" s="22"/>
      <c r="EN51" s="22"/>
      <c r="EO51" s="22"/>
      <c r="EP51" s="22"/>
      <c r="EQ51" s="165">
        <v>6</v>
      </c>
      <c r="ER51" s="166">
        <v>1</v>
      </c>
      <c r="ES51" s="167" t="s">
        <v>134</v>
      </c>
      <c r="ET51" s="168">
        <f t="shared" si="40"/>
        <v>0.80800000000000005</v>
      </c>
      <c r="EU51" s="166" t="s">
        <v>135</v>
      </c>
      <c r="EV51" s="166">
        <f>IF(EK$59&gt;5,ER51/ET51,0)</f>
        <v>0</v>
      </c>
      <c r="EW51" s="166"/>
      <c r="EX51" s="169"/>
      <c r="FG51" s="353">
        <f t="shared" si="43"/>
        <v>125.00000000999999</v>
      </c>
      <c r="FH51" s="353">
        <f t="shared" si="44"/>
        <v>30.000000010000001</v>
      </c>
      <c r="FI51" s="353">
        <v>37.5</v>
      </c>
      <c r="FJ51" s="353">
        <f t="shared" si="41"/>
        <v>156</v>
      </c>
      <c r="FK51" s="353">
        <f t="shared" si="45"/>
        <v>108.00000000999999</v>
      </c>
      <c r="FL51" s="354">
        <v>45.000000100000001</v>
      </c>
      <c r="FM51" s="353">
        <v>50</v>
      </c>
      <c r="FN51" s="353">
        <f t="shared" si="42"/>
        <v>120</v>
      </c>
      <c r="FW51" s="364" t="s">
        <v>152</v>
      </c>
      <c r="FX51" s="27"/>
      <c r="FY51" s="50">
        <f>FY49+FY50</f>
        <v>2</v>
      </c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K51" s="22"/>
      <c r="GL51" s="22" t="s">
        <v>774</v>
      </c>
      <c r="GM51" s="22"/>
      <c r="GN51" s="22">
        <f>ROUND(GN49/GN50,1)</f>
        <v>0</v>
      </c>
      <c r="GO51" s="22">
        <f>ROUND(GO49/GO50/1.732,1)</f>
        <v>0</v>
      </c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</row>
    <row r="52" spans="1:208" ht="12" customHeight="1">
      <c r="A52" s="92"/>
      <c r="B52" s="106">
        <v>47</v>
      </c>
      <c r="C52" s="674"/>
      <c r="D52" s="671"/>
      <c r="E52" s="668" t="s">
        <v>12</v>
      </c>
      <c r="F52" s="667" t="s">
        <v>12</v>
      </c>
      <c r="G52" s="670" t="s">
        <v>394</v>
      </c>
      <c r="H52" s="669"/>
      <c r="I52" s="108" t="str">
        <f t="shared" si="28"/>
        <v>L2</v>
      </c>
      <c r="J52" s="669"/>
      <c r="K52" s="670" t="s">
        <v>394</v>
      </c>
      <c r="L52" s="667" t="s">
        <v>12</v>
      </c>
      <c r="M52" s="668" t="s">
        <v>12</v>
      </c>
      <c r="N52" s="671"/>
      <c r="O52" s="672"/>
      <c r="P52" s="106">
        <v>48</v>
      </c>
      <c r="Q52" s="92"/>
      <c r="S52" s="133">
        <f>IF($H$5&gt;46,1,0)</f>
        <v>1</v>
      </c>
      <c r="T52" s="126">
        <f t="shared" si="29"/>
        <v>0</v>
      </c>
      <c r="U52" s="126" t="str">
        <f>IF($H$8=1,"L2","L3")</f>
        <v>L2</v>
      </c>
      <c r="X52" s="133">
        <f>IF(T52=0,0,IF($H$8=1,(H52+J52)," "))</f>
        <v>0</v>
      </c>
      <c r="Y52" s="133">
        <f>IF(T52=0,0,IF($H$8=1," ",(H52+J52)))</f>
        <v>0</v>
      </c>
      <c r="AB52" s="133">
        <f>IF($H$8=1,IF(T52=0,0,IF(G52="G",H52,0))," ")</f>
        <v>0</v>
      </c>
      <c r="AC52" s="133">
        <f>IF($H$8=1,IF(T52=0,0,IF(K52="G",J52,0))," ")</f>
        <v>0</v>
      </c>
      <c r="AD52" s="133" t="str">
        <f>IF($H$8=1," ",IF(T52=0,0,IF(G52="G",H52,0)))</f>
        <v xml:space="preserve"> </v>
      </c>
      <c r="AE52" s="133" t="str">
        <f>IF($H$8=1," ",IF(T52=0,0,IF(K52="G",J52,0)))</f>
        <v xml:space="preserve"> </v>
      </c>
      <c r="AH52" s="126">
        <f>IF($H$8=1,IF(T52=0,0,IF(G52="D",H52,0))," ")</f>
        <v>0</v>
      </c>
      <c r="AI52" s="126">
        <f>IF($H$8=1,IF(T52=0,0,IF(K52="D",J52,0))," ")</f>
        <v>0</v>
      </c>
      <c r="AJ52" s="126" t="str">
        <f>IF($H$8=1," ",IF(T52=0,0,IF(G52="D",H52,0)))</f>
        <v xml:space="preserve"> </v>
      </c>
      <c r="AK52" s="126" t="str">
        <f>IF($H$8=1," ",IF(T52=0,0,IF(K52="D",J52,0)))</f>
        <v xml:space="preserve"> </v>
      </c>
      <c r="AN52" s="126">
        <f>IF($H$8=1,IF(T52=0,0,IF(G52="C",H52,0))," ")</f>
        <v>0</v>
      </c>
      <c r="AO52" s="126">
        <f>IF($H$8=1,IF(T52=0,0,IF(K52="C",J52,0))," ")</f>
        <v>0</v>
      </c>
      <c r="AP52" s="126" t="str">
        <f>IF($H$8=1," ",IF(T52=0,0,IF(G52="C",H52,0)))</f>
        <v xml:space="preserve"> </v>
      </c>
      <c r="AQ52" s="126" t="str">
        <f>IF($H$8=1," ",IF(T52=0,0,IF(K52="C",J52,0)))</f>
        <v xml:space="preserve"> </v>
      </c>
      <c r="AR52" s="133">
        <f t="shared" si="26"/>
        <v>0</v>
      </c>
      <c r="AS52" s="133">
        <f t="shared" si="27"/>
        <v>0</v>
      </c>
      <c r="AV52" s="133">
        <f>IF(T52=0,0,IF($H$8=1,IF(G52="M",H52,0)," "))</f>
        <v>0</v>
      </c>
      <c r="AW52" s="133">
        <f>IF(T52=0,0,IF($H$8=1,IF(K52="M",J52,0)," "))</f>
        <v>0</v>
      </c>
      <c r="AX52" s="133">
        <f>IF(T52=0,0,IF($H$8=1," ",IF(G52="M",H52,0)))</f>
        <v>0</v>
      </c>
      <c r="AY52" s="133">
        <f>IF(T52=0,0,IF($H$8=1," ",IF(K52="M",J52,0)))</f>
        <v>0</v>
      </c>
      <c r="BA52" s="133"/>
      <c r="BB52" s="133"/>
      <c r="BC52" s="133">
        <f>IF(T52=0,0,IF($H$8=1,IF(G52="K",H52,0)," "))</f>
        <v>0</v>
      </c>
      <c r="BD52" s="133">
        <f>IF(T52=0,0,IF($H$8=1,IF(K52="K",J52,0)," "))</f>
        <v>0</v>
      </c>
      <c r="BE52" s="133">
        <f>IF(T52=0,0,IF($H$8=1," ",IF(G52="K",H52,0)))</f>
        <v>0</v>
      </c>
      <c r="BF52" s="133">
        <f>IF(T52=0,0,IF($H$8=1," ",IF(K52="K",J52,0)))</f>
        <v>0</v>
      </c>
      <c r="BG52" s="126"/>
      <c r="BI52" s="133">
        <f>IF(T52=0,0,IF(E52="N",H52,0))</f>
        <v>0</v>
      </c>
      <c r="BJ52" s="133">
        <f>IF(T52=0,0,IF(M52="N",J52,0))</f>
        <v>0</v>
      </c>
      <c r="BK52" s="133"/>
      <c r="BL52" s="133"/>
      <c r="BM52" s="133">
        <f>IF(T52=0,0,IF(E52="N",H52,0))</f>
        <v>0</v>
      </c>
      <c r="BN52" s="133">
        <f>IF(T52=0,0,IF(M52="N",J52,0))</f>
        <v>0</v>
      </c>
      <c r="BO52" s="133"/>
      <c r="BP52" s="133"/>
      <c r="BQ52" s="133"/>
      <c r="BR52" s="133"/>
      <c r="BS52" s="133">
        <f>IF(T52=0,0,IF(E52="N",H52,0))</f>
        <v>0</v>
      </c>
      <c r="BT52" s="133">
        <f>IF(T52=0,0,IF(M52="N",J52,0))</f>
        <v>0</v>
      </c>
      <c r="BU52" s="133"/>
      <c r="BV52" s="133"/>
      <c r="BW52" s="133"/>
      <c r="BY52" s="130"/>
      <c r="BZ52" s="130"/>
      <c r="CA52" s="128">
        <v>13</v>
      </c>
      <c r="CB52" s="129">
        <f>IF(SUM(CB$46:CB51)=0,CC52,0)</f>
        <v>0</v>
      </c>
      <c r="CC52" s="129">
        <f>IF(H$5&lt;14,0,IF(G35="G",0,IF(G35="C",0,IF(G35="M",0,IF(G35="K",0,IF(AND(OR($H$11="FULL",$H$11="AUTO"),G35="D"),0,13))))))</f>
        <v>0</v>
      </c>
      <c r="CD52" s="128" t="str">
        <f>IF($H$11="NONE","ENTER CIRCUIT #13 LOAD IDENTIFIER  ( G, C, M, K )","ENTER CIRCUIT #13 LOAD IDENTIFIER  ( G, D, C, M, K )")</f>
        <v>ENTER CIRCUIT #13 LOAD IDENTIFIER  ( G, D, C, M, K )</v>
      </c>
      <c r="CE52" s="129">
        <f>IF(SUM(CE$46:CE51)=0,CF52,0)</f>
        <v>0</v>
      </c>
      <c r="CF52" s="129">
        <f>IF(H$5&lt;14,0,IF(ISBLANK(F35)=TRUE,13,IF(F35=" ",0,IF(F35="H",0,13))))</f>
        <v>0</v>
      </c>
      <c r="CG52" s="128" t="s">
        <v>107</v>
      </c>
      <c r="CH52" s="129">
        <f>IF(SUM(CH$46:CH51)=0,CI52,0)</f>
        <v>0</v>
      </c>
      <c r="CI52" s="132">
        <f>IF($H$5&lt;14,0,IF(ISBLANK($E35)=TRUE,13,IF($E35="N",0,IF($E35=" ",0,13))))</f>
        <v>0</v>
      </c>
      <c r="CJ52" s="128" t="s">
        <v>447</v>
      </c>
      <c r="CK52" s="128"/>
      <c r="CL52" s="128"/>
      <c r="CM52" s="128"/>
      <c r="CN52" s="128"/>
      <c r="CO52" s="128"/>
      <c r="CP52" s="128"/>
      <c r="CQ52" s="32"/>
      <c r="CX52" s="74" t="s">
        <v>68</v>
      </c>
      <c r="CY52" s="27" t="s">
        <v>38</v>
      </c>
      <c r="CZ52" s="27" t="s">
        <v>38</v>
      </c>
      <c r="DA52" s="75" t="s">
        <v>73</v>
      </c>
      <c r="DB52" s="27"/>
      <c r="DC52" s="27"/>
      <c r="DD52" s="27"/>
      <c r="DE52" s="22"/>
      <c r="DF52" s="22"/>
      <c r="DN52" s="22"/>
      <c r="DV52" s="61" t="s">
        <v>64</v>
      </c>
      <c r="DW52" s="80"/>
      <c r="DX52" s="5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J52" s="22"/>
      <c r="EK52" s="22"/>
      <c r="EL52" s="22"/>
      <c r="EM52" s="22"/>
      <c r="EN52" s="22"/>
      <c r="EO52" s="22"/>
      <c r="EP52" s="22"/>
      <c r="EQ52" s="170"/>
      <c r="ER52" s="166"/>
      <c r="ES52" s="171"/>
      <c r="ET52" s="168"/>
      <c r="EU52" s="166"/>
      <c r="EV52" s="166"/>
      <c r="EW52" s="166"/>
      <c r="EX52" s="169"/>
      <c r="FG52" s="353">
        <f t="shared" si="43"/>
        <v>156.00000001000001</v>
      </c>
      <c r="FH52" s="353">
        <f t="shared" si="44"/>
        <v>37.500000010000001</v>
      </c>
      <c r="FI52" s="353">
        <v>50</v>
      </c>
      <c r="FJ52" s="353">
        <f t="shared" si="41"/>
        <v>208</v>
      </c>
      <c r="FK52" s="353">
        <f t="shared" si="45"/>
        <v>120.00000000999999</v>
      </c>
      <c r="FL52" s="354">
        <v>50.000000100000001</v>
      </c>
      <c r="FM52" s="353">
        <v>60</v>
      </c>
      <c r="FN52" s="353">
        <f t="shared" si="42"/>
        <v>144</v>
      </c>
      <c r="FW52" s="365" t="s">
        <v>64</v>
      </c>
      <c r="FX52" s="80"/>
      <c r="FY52" s="5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</row>
    <row r="53" spans="1:208" ht="12" customHeight="1">
      <c r="A53" s="92"/>
      <c r="B53" s="106">
        <v>49</v>
      </c>
      <c r="C53" s="674"/>
      <c r="D53" s="671"/>
      <c r="E53" s="668" t="s">
        <v>12</v>
      </c>
      <c r="F53" s="667" t="s">
        <v>12</v>
      </c>
      <c r="G53" s="670" t="s">
        <v>394</v>
      </c>
      <c r="H53" s="669"/>
      <c r="I53" s="108" t="str">
        <f t="shared" si="28"/>
        <v>L1</v>
      </c>
      <c r="J53" s="669"/>
      <c r="K53" s="670" t="s">
        <v>394</v>
      </c>
      <c r="L53" s="667" t="s">
        <v>12</v>
      </c>
      <c r="M53" s="668" t="s">
        <v>12</v>
      </c>
      <c r="N53" s="671"/>
      <c r="O53" s="672"/>
      <c r="P53" s="106">
        <v>50</v>
      </c>
      <c r="Q53" s="92"/>
      <c r="S53" s="133">
        <f>IF($H$5&gt;48,1,0)</f>
        <v>1</v>
      </c>
      <c r="T53" s="126">
        <f t="shared" si="29"/>
        <v>0</v>
      </c>
      <c r="U53" s="126" t="str">
        <f>IF($H$8=1,"L1","L1")</f>
        <v>L1</v>
      </c>
      <c r="W53" s="133">
        <f>IF(T53=0,0,(H53+J53))</f>
        <v>0</v>
      </c>
      <c r="Z53" s="133">
        <f>IF(T53=0,0,IF(G53="G",H53,0))</f>
        <v>0</v>
      </c>
      <c r="AA53" s="133">
        <f>IF(T53=0,0,IF(K53="G",J53,0))</f>
        <v>0</v>
      </c>
      <c r="AF53" s="126">
        <f>IF(T53=0,0,IF(G53="D",H53,0))</f>
        <v>0</v>
      </c>
      <c r="AG53" s="126">
        <f>IF(T53=0,0,IF(K53="D",J53,0))</f>
        <v>0</v>
      </c>
      <c r="AL53" s="126">
        <f>IF(T53=0,0,IF(G53="C",H53,0))</f>
        <v>0</v>
      </c>
      <c r="AM53" s="126">
        <f>IF(T53=0,0,IF(K53="C",J53,0))</f>
        <v>0</v>
      </c>
      <c r="AR53" s="133">
        <f t="shared" si="26"/>
        <v>0</v>
      </c>
      <c r="AS53" s="133">
        <f t="shared" si="27"/>
        <v>0</v>
      </c>
      <c r="AT53" s="133">
        <f>IF(T53=0,0,IF(G53="M",H53,0))</f>
        <v>0</v>
      </c>
      <c r="AU53" s="133">
        <f>IF(T53=0,0,IF(K53="M",J53,0))</f>
        <v>0</v>
      </c>
      <c r="BA53" s="133">
        <f>IF(T53=0,0,IF(G53="K",H53,0))</f>
        <v>0</v>
      </c>
      <c r="BB53" s="133">
        <f>IF(T53=0,0,IF(K53="K",J53,0))</f>
        <v>0</v>
      </c>
      <c r="BC53" s="133"/>
      <c r="BD53" s="133"/>
      <c r="BE53" s="133"/>
      <c r="BF53" s="133"/>
      <c r="BG53" s="126">
        <f>IF(T53=0,0,IF(E53="N",H53,0))</f>
        <v>0</v>
      </c>
      <c r="BH53" s="133">
        <f>IF(T53=0,0,IF(M53="N",J53,0))</f>
        <v>0</v>
      </c>
      <c r="BK53" s="133">
        <f>IF(T53=0,0,IF(E53="N",H53,0))</f>
        <v>0</v>
      </c>
      <c r="BL53" s="133">
        <f>IF(T53=0,0,IF(M53="N",J53,0))</f>
        <v>0</v>
      </c>
      <c r="BM53" s="133"/>
      <c r="BN53" s="133"/>
      <c r="BO53" s="133">
        <f>IF(T53=0,0,IF(E53="N",H53,0))</f>
        <v>0</v>
      </c>
      <c r="BP53" s="133">
        <f>IF(T53=0,0,IF(M53="N",J53,0))</f>
        <v>0</v>
      </c>
      <c r="BQ53" s="133"/>
      <c r="BR53" s="133"/>
      <c r="BS53" s="133"/>
      <c r="BT53" s="133"/>
      <c r="BU53" s="133"/>
      <c r="BV53" s="133"/>
      <c r="BW53" s="133"/>
      <c r="BY53" s="130"/>
      <c r="BZ53" s="130"/>
      <c r="CA53" s="128">
        <v>15</v>
      </c>
      <c r="CB53" s="129">
        <f>IF(SUM(CB$46:CB52)=0,CC53,0)</f>
        <v>0</v>
      </c>
      <c r="CC53" s="129">
        <f>IF(H$5&lt;16,0,IF(G36="G",0,IF(G36="C",0,IF(G36="M",0,IF(G36="K",0,IF(AND(OR($H$11="FULL",$H$11="AUTO"),OR($H$8=1,$H$8="3Y"),G36="D"),0,15))))))</f>
        <v>0</v>
      </c>
      <c r="CD53" s="128" t="str">
        <f>IF($H$11="NONE","ENTER CIRCUIT #15 LOAD IDENTIFIER  ( G, C, M, K )",IF($H$8="3D","ENTER CIRCUIT #15 LOAD IDENTIFIER  ( G, C, M, K )","ENTER CIRCUIT #15 LOAD IDENTIFIER  ( G, D, C, M, K )"))</f>
        <v>ENTER CIRCUIT #15 LOAD IDENTIFIER  ( G, D, C, M, K )</v>
      </c>
      <c r="CE53" s="129">
        <f>IF(SUM(CE$46:CE52)=0,CF53,0)</f>
        <v>0</v>
      </c>
      <c r="CF53" s="129">
        <f>IF(H$5&lt;16,0,IF(ISBLANK(F36)=TRUE,15,IF(F36=" ",0,IF(F36="H",0,15))))</f>
        <v>0</v>
      </c>
      <c r="CG53" s="128" t="s">
        <v>111</v>
      </c>
      <c r="CH53" s="129">
        <f>IF(SUM(CH$46:CH52)=0,CI53,0)</f>
        <v>0</v>
      </c>
      <c r="CI53" s="132">
        <f>IF($H$5&lt;16,0,IF(ISBLANK($E36)=TRUE,15,IF($E36=" ",0,IF(AND($H$8&lt;&gt;"3D",$E36="N"),0,15))))</f>
        <v>0</v>
      </c>
      <c r="CJ53" s="128" t="str">
        <f>IF($H$8&lt;&gt;"3D","ENTER CIRCUIT #15 NEUTRAL IDENTIFIER  ( N or SPACE )","ENTER CIRCUIT #15 NEUTRAL IDENTIFIER  ( SPACE )")</f>
        <v>ENTER CIRCUIT #15 NEUTRAL IDENTIFIER  ( N or SPACE )</v>
      </c>
      <c r="CK53" s="128"/>
      <c r="CL53" s="128"/>
      <c r="CM53" s="128"/>
      <c r="CN53" s="128"/>
      <c r="CO53" s="128"/>
      <c r="CP53" s="128"/>
      <c r="CQ53" s="32"/>
      <c r="CX53" s="74" t="s">
        <v>48</v>
      </c>
      <c r="CY53" s="27" t="s">
        <v>74</v>
      </c>
      <c r="CZ53" s="27" t="s">
        <v>7</v>
      </c>
      <c r="DA53" s="75" t="s">
        <v>21</v>
      </c>
      <c r="DB53" s="27"/>
      <c r="DC53" s="27"/>
      <c r="DD53" s="27"/>
      <c r="DE53" s="22"/>
      <c r="DF53" s="22"/>
      <c r="DG53" s="22"/>
      <c r="DH53" s="22"/>
      <c r="DI53" s="22"/>
      <c r="DJ53" s="22"/>
      <c r="DK53" s="22"/>
      <c r="DL53" s="22"/>
      <c r="DN53" s="22"/>
      <c r="DV53" s="24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J53" s="45" t="s">
        <v>155</v>
      </c>
      <c r="EK53" s="22"/>
      <c r="EL53" s="22"/>
      <c r="EM53" s="22"/>
      <c r="EN53" s="22"/>
      <c r="EO53" s="22" t="s">
        <v>580</v>
      </c>
      <c r="EP53" s="22"/>
      <c r="EQ53" s="172" t="s">
        <v>252</v>
      </c>
      <c r="ER53" s="173"/>
      <c r="ES53" s="174"/>
      <c r="ET53" s="166">
        <v>1</v>
      </c>
      <c r="EU53" s="166" t="s">
        <v>134</v>
      </c>
      <c r="EV53" s="166">
        <f>SUM(EV46:EV51)</f>
        <v>0</v>
      </c>
      <c r="EW53" s="166" t="s">
        <v>135</v>
      </c>
      <c r="EX53" s="169">
        <f>IF(EK$59=1,0,ET53/EV53)</f>
        <v>0</v>
      </c>
      <c r="FG53" s="353">
        <f t="shared" si="43"/>
        <v>208.00000001000001</v>
      </c>
      <c r="FH53" s="353">
        <f t="shared" si="44"/>
        <v>50.000000010000001</v>
      </c>
      <c r="FI53" s="353">
        <v>75</v>
      </c>
      <c r="FJ53" s="353">
        <f t="shared" si="41"/>
        <v>313</v>
      </c>
      <c r="FK53" s="353">
        <f t="shared" si="45"/>
        <v>144.00000001000001</v>
      </c>
      <c r="FL53" s="354">
        <v>60.000000100000001</v>
      </c>
      <c r="FM53" s="353">
        <v>75</v>
      </c>
      <c r="FN53" s="353">
        <f t="shared" si="42"/>
        <v>180</v>
      </c>
      <c r="FW53" s="366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K53" s="45" t="s">
        <v>755</v>
      </c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</row>
    <row r="54" spans="1:208" ht="12" customHeight="1">
      <c r="A54" s="92"/>
      <c r="B54" s="106">
        <v>51</v>
      </c>
      <c r="C54" s="674"/>
      <c r="D54" s="671"/>
      <c r="E54" s="668" t="s">
        <v>12</v>
      </c>
      <c r="F54" s="667" t="s">
        <v>12</v>
      </c>
      <c r="G54" s="670" t="s">
        <v>394</v>
      </c>
      <c r="H54" s="669"/>
      <c r="I54" s="108" t="str">
        <f t="shared" si="28"/>
        <v>L2</v>
      </c>
      <c r="J54" s="669"/>
      <c r="K54" s="670" t="s">
        <v>394</v>
      </c>
      <c r="L54" s="667" t="s">
        <v>12</v>
      </c>
      <c r="M54" s="668" t="s">
        <v>12</v>
      </c>
      <c r="N54" s="671"/>
      <c r="O54" s="672"/>
      <c r="P54" s="106">
        <v>52</v>
      </c>
      <c r="Q54" s="92"/>
      <c r="S54" s="133">
        <f>IF($H$5&gt;50,1,0)</f>
        <v>1</v>
      </c>
      <c r="T54" s="126">
        <f t="shared" si="29"/>
        <v>0</v>
      </c>
      <c r="U54" s="126" t="str">
        <f>IF($H$8=1,"L2","L2")</f>
        <v>L2</v>
      </c>
      <c r="X54" s="133">
        <f>IF(T54=0,0,(H54+J54))</f>
        <v>0</v>
      </c>
      <c r="AB54" s="133">
        <f>IF(T54=0,0,IF(G54="G",H54,0))</f>
        <v>0</v>
      </c>
      <c r="AC54" s="133">
        <f>IF(T54=0,0,IF(K54="G",J54,0))</f>
        <v>0</v>
      </c>
      <c r="AH54" s="126">
        <f>IF(T54=0,0,IF(G54="D",H54,0))</f>
        <v>0</v>
      </c>
      <c r="AI54" s="126">
        <f>IF(T54=0,0,IF(K54="D",J54,0))</f>
        <v>0</v>
      </c>
      <c r="AN54" s="126">
        <f>IF(T54=0,0,IF(G54="C",H54,0))</f>
        <v>0</v>
      </c>
      <c r="AO54" s="126">
        <f>IF(T54=0,0,IF(K54="C",J54,0))</f>
        <v>0</v>
      </c>
      <c r="AR54" s="133">
        <f t="shared" si="26"/>
        <v>0</v>
      </c>
      <c r="AS54" s="133">
        <f t="shared" si="27"/>
        <v>0</v>
      </c>
      <c r="AV54" s="133">
        <f>IF(T54=0,0,IF(G54="M",H54,0))</f>
        <v>0</v>
      </c>
      <c r="AW54" s="133">
        <f>IF(T54=0,0,IF(K54="M",J54,0))</f>
        <v>0</v>
      </c>
      <c r="BA54" s="133"/>
      <c r="BB54" s="133"/>
      <c r="BC54" s="133">
        <f>IF(T54=0,0,IF(G54="K",H54,0))</f>
        <v>0</v>
      </c>
      <c r="BD54" s="133">
        <f>IF(T54=0,0,IF(K54="K",J54,0))</f>
        <v>0</v>
      </c>
      <c r="BE54" s="133"/>
      <c r="BF54" s="133"/>
      <c r="BK54" s="133"/>
      <c r="BL54" s="133"/>
      <c r="BM54" s="133">
        <f>IF(T54=0,0,IF(E54="N",H54,0))</f>
        <v>0</v>
      </c>
      <c r="BN54" s="133">
        <f>IF(T54=0,0,IF(M54="N",J54,0))</f>
        <v>0</v>
      </c>
      <c r="BO54" s="133"/>
      <c r="BP54" s="133"/>
      <c r="BQ54" s="133">
        <f>IF(T54=0,0,IF(E54="N",H54,0))</f>
        <v>0</v>
      </c>
      <c r="BR54" s="133">
        <f>IF(T54=0,0,IF(M54="N",J54,0))</f>
        <v>0</v>
      </c>
      <c r="BS54" s="133"/>
      <c r="BT54" s="133"/>
      <c r="BU54" s="133"/>
      <c r="BV54" s="133"/>
      <c r="BW54" s="133"/>
      <c r="BY54" s="130"/>
      <c r="BZ54" s="130"/>
      <c r="CA54" s="128">
        <v>17</v>
      </c>
      <c r="CB54" s="129">
        <f>IF(SUM(CB$46:CB53)=0,CC54,0)</f>
        <v>0</v>
      </c>
      <c r="CC54" s="129">
        <f>IF(H$5&lt;18,0,IF(G37="G",0,IF(G37="C",0,IF(G37="M",0,IF(G37="K",0,IF(AND(OR($H$11="FULL",$H$11="AUTO"),G37="D"),0,17))))))</f>
        <v>0</v>
      </c>
      <c r="CD54" s="128" t="str">
        <f>IF($H$11="NONE","ENTER CIRCUIT #17 LOAD IDENTIFIER  ( G, C, M, K )","ENTER CIRCUIT #17 LOAD IDENTIFIER  ( G, D, C, M, K )")</f>
        <v>ENTER CIRCUIT #17 LOAD IDENTIFIER  ( G, D, C, M, K )</v>
      </c>
      <c r="CE54" s="129">
        <f>IF(SUM(CE$46:CE53)=0,CF54,0)</f>
        <v>0</v>
      </c>
      <c r="CF54" s="129">
        <f>IF(H$5&lt;18,0,IF(ISBLANK(F37)=TRUE,17,IF(F37=" ",0,IF(F37="H",0,17))))</f>
        <v>0</v>
      </c>
      <c r="CG54" s="128" t="s">
        <v>113</v>
      </c>
      <c r="CH54" s="129">
        <f>IF(SUM(CH$46:CH53)=0,CI54,0)</f>
        <v>0</v>
      </c>
      <c r="CI54" s="132">
        <f>IF($H$5&lt;18,0,IF(ISBLANK($E37)=TRUE,17,IF($E37="N",0,IF($E37=" ",0,17))))</f>
        <v>0</v>
      </c>
      <c r="CJ54" s="128" t="s">
        <v>448</v>
      </c>
      <c r="CK54" s="128"/>
      <c r="CL54" s="128"/>
      <c r="CM54" s="128"/>
      <c r="CN54" s="128"/>
      <c r="CO54" s="128"/>
      <c r="CP54" s="128"/>
      <c r="CQ54" s="32"/>
      <c r="CW54" s="1" t="s">
        <v>484</v>
      </c>
      <c r="CX54" s="76">
        <f>VLOOKUP(CY9,CX18:DH49,4)</f>
        <v>50</v>
      </c>
      <c r="CY54" s="81" t="str">
        <f>VLOOKUP(CY9,CX18:DH49,6)</f>
        <v>#6</v>
      </c>
      <c r="CZ54" s="81">
        <f>VLOOKUP(CY9,CX18:DH49,7)</f>
        <v>5</v>
      </c>
      <c r="DA54" s="72">
        <f>VLOOKUP(CY9,CX18:DH49,8)</f>
        <v>1</v>
      </c>
      <c r="DB54" s="27"/>
      <c r="DC54" s="29" t="s">
        <v>529</v>
      </c>
      <c r="DD54" s="27"/>
      <c r="DE54" s="22"/>
      <c r="DF54" s="22"/>
      <c r="DG54" s="22"/>
      <c r="DH54" s="22"/>
      <c r="DI54" s="22"/>
      <c r="DJ54" s="22"/>
      <c r="DK54" s="22"/>
      <c r="DL54" s="22"/>
      <c r="DN54" s="22"/>
      <c r="DV54" s="58" t="s">
        <v>68</v>
      </c>
      <c r="DW54" s="58" t="s">
        <v>68</v>
      </c>
      <c r="DX54" s="58" t="str">
        <f t="shared" ref="DX54:DX73" si="46">IF($DW$46="THW",EB54,IF($DW$46="RHW",EC54,IF($DW$46="THHN",ED54,IF($DW$46="XHHW",EE54,IF($DW$46="THW-CA",EF54,IF($DW$46="THHN-CA",EG54,IF($DW$46="XHHW-CA",EH54,"ERR")))))))</f>
        <v>ST</v>
      </c>
      <c r="DY54" s="22"/>
      <c r="DZ54" s="58" t="s">
        <v>68</v>
      </c>
      <c r="EA54" s="58" t="s">
        <v>68</v>
      </c>
      <c r="EB54" s="58" t="s">
        <v>157</v>
      </c>
      <c r="EC54" s="58" t="s">
        <v>157</v>
      </c>
      <c r="ED54" s="58" t="s">
        <v>157</v>
      </c>
      <c r="EE54" s="58" t="s">
        <v>157</v>
      </c>
      <c r="EF54" s="58" t="s">
        <v>158</v>
      </c>
      <c r="EG54" s="58" t="s">
        <v>158</v>
      </c>
      <c r="EH54" s="58" t="s">
        <v>158</v>
      </c>
      <c r="EJ54" s="22"/>
      <c r="EK54" s="22" t="s">
        <v>401</v>
      </c>
      <c r="EL54" s="22" t="s">
        <v>478</v>
      </c>
      <c r="EM54" s="22" t="s">
        <v>523</v>
      </c>
      <c r="EN54" s="22" t="s">
        <v>523</v>
      </c>
      <c r="EO54" s="22" t="s">
        <v>401</v>
      </c>
      <c r="EP54" s="22"/>
      <c r="EQ54" s="175"/>
      <c r="ER54" s="174"/>
      <c r="ES54" s="174"/>
      <c r="ET54" s="176"/>
      <c r="EU54" s="176"/>
      <c r="EV54" s="176"/>
      <c r="EW54" s="176"/>
      <c r="EX54" s="177"/>
      <c r="FG54" s="353">
        <f t="shared" si="43"/>
        <v>313.00000001000001</v>
      </c>
      <c r="FH54" s="353">
        <f t="shared" si="44"/>
        <v>75.000000009999994</v>
      </c>
      <c r="FI54" s="353">
        <v>100</v>
      </c>
      <c r="FJ54" s="353">
        <f t="shared" si="41"/>
        <v>400</v>
      </c>
      <c r="FK54" s="353">
        <f t="shared" si="45"/>
        <v>180.00000001000001</v>
      </c>
      <c r="FL54" s="354">
        <v>75.000000099999994</v>
      </c>
      <c r="FM54" s="353">
        <v>100</v>
      </c>
      <c r="FN54" s="353">
        <f t="shared" si="42"/>
        <v>241</v>
      </c>
      <c r="FW54" s="367" t="s">
        <v>68</v>
      </c>
      <c r="FX54" s="58" t="s">
        <v>68</v>
      </c>
      <c r="FY54" s="58" t="str">
        <f t="shared" ref="FY54:FY73" si="47">IF($DW$46="THW",GC54,IF($DW$46="RHW",GD54,IF($DW$46="THHN",GE54,IF($DW$46="XHHW",GF54,IF($DW$46="THW-CA",GG54,IF($DW$46="THHN-CA",GH54,IF($DW$46="XHHW-CA",GI54,"ERR")))))))</f>
        <v>ST</v>
      </c>
      <c r="FZ54" s="22"/>
      <c r="GA54" s="58" t="s">
        <v>68</v>
      </c>
      <c r="GB54" s="58" t="s">
        <v>68</v>
      </c>
      <c r="GC54" s="58" t="s">
        <v>157</v>
      </c>
      <c r="GD54" s="58" t="s">
        <v>157</v>
      </c>
      <c r="GE54" s="58" t="s">
        <v>157</v>
      </c>
      <c r="GF54" s="58" t="s">
        <v>157</v>
      </c>
      <c r="GG54" s="58" t="s">
        <v>158</v>
      </c>
      <c r="GH54" s="58" t="s">
        <v>158</v>
      </c>
      <c r="GI54" s="58" t="s">
        <v>158</v>
      </c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</row>
    <row r="55" spans="1:208" ht="12" customHeight="1">
      <c r="A55" s="92"/>
      <c r="B55" s="106">
        <v>53</v>
      </c>
      <c r="C55" s="674"/>
      <c r="D55" s="671"/>
      <c r="E55" s="668" t="s">
        <v>12</v>
      </c>
      <c r="F55" s="667" t="s">
        <v>12</v>
      </c>
      <c r="G55" s="670" t="s">
        <v>394</v>
      </c>
      <c r="H55" s="669"/>
      <c r="I55" s="108" t="str">
        <f t="shared" si="28"/>
        <v>L1</v>
      </c>
      <c r="J55" s="669"/>
      <c r="K55" s="670" t="s">
        <v>394</v>
      </c>
      <c r="L55" s="667" t="s">
        <v>12</v>
      </c>
      <c r="M55" s="668" t="s">
        <v>12</v>
      </c>
      <c r="N55" s="671"/>
      <c r="O55" s="672"/>
      <c r="P55" s="106">
        <v>54</v>
      </c>
      <c r="Q55" s="92"/>
      <c r="S55" s="133">
        <f>IF($H$5&gt;52,1,0)</f>
        <v>1</v>
      </c>
      <c r="T55" s="126">
        <f t="shared" si="29"/>
        <v>0</v>
      </c>
      <c r="U55" s="126" t="str">
        <f>IF($H$8=1,"L1","L3")</f>
        <v>L1</v>
      </c>
      <c r="W55" s="133">
        <f>IF(T55=0,0,IF($H$8=1,(H55+J55)," "))</f>
        <v>0</v>
      </c>
      <c r="Y55" s="133">
        <f>IF(T55=0,0,IF($H$8=1," ",(H55+J55)))</f>
        <v>0</v>
      </c>
      <c r="Z55" s="133">
        <f>IF($H$8=1,IF(T55=0,0,IF(G55="G",H55,0))," ")</f>
        <v>0</v>
      </c>
      <c r="AA55" s="133">
        <f>IF($H$8=1,IF(T55=0,0,IF(K55="G",J55,0))," ")</f>
        <v>0</v>
      </c>
      <c r="AD55" s="133" t="str">
        <f>IF($H$8=1," ",IF(T55=0,0,IF(G55="G",H55,0)))</f>
        <v xml:space="preserve"> </v>
      </c>
      <c r="AE55" s="133" t="str">
        <f>IF($H$8=1," ",IF(T55=0,0,IF(K55="G",J55,0)))</f>
        <v xml:space="preserve"> </v>
      </c>
      <c r="AF55" s="126">
        <f>IF($H$8=1,IF(T55=0,0,IF(G55="D",H55,0))," ")</f>
        <v>0</v>
      </c>
      <c r="AG55" s="126">
        <f>IF($H$8=1,IF(T55=0,0,IF(K55="D",J55,0))," ")</f>
        <v>0</v>
      </c>
      <c r="AJ55" s="126" t="str">
        <f>IF($H$8=1," ",IF(T55=0,0,IF(G55="D",H55,0)))</f>
        <v xml:space="preserve"> </v>
      </c>
      <c r="AK55" s="126" t="str">
        <f>IF($H$8=1," ",IF(T55=0,0,IF(K55="D",J55,0)))</f>
        <v xml:space="preserve"> </v>
      </c>
      <c r="AL55" s="126">
        <f>IF($H$8=1,IF(T55=0,0,IF(G55="C",H55,0))," ")</f>
        <v>0</v>
      </c>
      <c r="AM55" s="126">
        <f>IF($H$8=1,IF(T55=0,0,IF(K55="C",J55,0))," ")</f>
        <v>0</v>
      </c>
      <c r="AP55" s="126" t="str">
        <f>IF($H$8=1," ",IF(T55=0,0,IF(G55="C",H55,0)))</f>
        <v xml:space="preserve"> </v>
      </c>
      <c r="AQ55" s="126" t="str">
        <f>IF($H$8=1," ",IF(T55=0,0,IF(K55="C",J55,0)))</f>
        <v xml:space="preserve"> </v>
      </c>
      <c r="AR55" s="133">
        <f t="shared" si="26"/>
        <v>0</v>
      </c>
      <c r="AS55" s="133">
        <f t="shared" si="27"/>
        <v>0</v>
      </c>
      <c r="AT55" s="133">
        <f>IF(T55=0,0,IF($H$8=1,IF(G55="M",H55,0)," "))</f>
        <v>0</v>
      </c>
      <c r="AU55" s="133">
        <f>IF(T55=0,0,IF($H$8=1,IF(K55="M",J55,0)," "))</f>
        <v>0</v>
      </c>
      <c r="AX55" s="133">
        <f>IF(T55=0,0,IF($H$8=1," ",IF(G55="M",H55,0)))</f>
        <v>0</v>
      </c>
      <c r="AY55" s="133">
        <f>IF(T55=0,0,IF($H$8=1," ",IF(K55="M",J55,0)))</f>
        <v>0</v>
      </c>
      <c r="BA55" s="133">
        <f>IF(T55=0,0,IF($H$8=1,IF(G55="K",H55,0)," "))</f>
        <v>0</v>
      </c>
      <c r="BB55" s="133">
        <f>IF(T55=0,0,IF($H$8=1,IF(K55="K",J55,0)," "))</f>
        <v>0</v>
      </c>
      <c r="BC55" s="133"/>
      <c r="BD55" s="133"/>
      <c r="BE55" s="133">
        <f>IF(T55=0,0,IF($H$8=1," ",IF(G55="K",H55,0)))</f>
        <v>0</v>
      </c>
      <c r="BF55" s="133">
        <f>IF(T55=0,0,IF($H$8=1," ",IF(K55="K",J55,0)))</f>
        <v>0</v>
      </c>
      <c r="BG55" s="126"/>
      <c r="BI55" s="133">
        <f>IF(T55=0,0,IF(E55="N",H55,0))</f>
        <v>0</v>
      </c>
      <c r="BJ55" s="133">
        <f>IF(T55=0,0,IF(M55="N",J55,0))</f>
        <v>0</v>
      </c>
      <c r="BK55" s="133">
        <f>IF(T55=0,0,IF(E55="N",H55,0))</f>
        <v>0</v>
      </c>
      <c r="BL55" s="133">
        <f>IF(T55=0,0,IF(M55="N",J55,0))</f>
        <v>0</v>
      </c>
      <c r="BM55" s="133"/>
      <c r="BN55" s="133"/>
      <c r="BO55" s="133"/>
      <c r="BP55" s="133"/>
      <c r="BQ55" s="133"/>
      <c r="BR55" s="133"/>
      <c r="BS55" s="133">
        <f>IF(T55=0,0,IF(E55="N",H55,0))</f>
        <v>0</v>
      </c>
      <c r="BT55" s="133">
        <f>IF(T55=0,0,IF(M55="N",J55,0))</f>
        <v>0</v>
      </c>
      <c r="BU55" s="133"/>
      <c r="BV55" s="133"/>
      <c r="BW55" s="133"/>
      <c r="BY55" s="130"/>
      <c r="BZ55" s="130"/>
      <c r="CA55" s="128">
        <v>19</v>
      </c>
      <c r="CB55" s="129">
        <f>IF(SUM(CB$46:CB54)=0,CC55,0)</f>
        <v>0</v>
      </c>
      <c r="CC55" s="129">
        <f>IF(H$5&lt;20,0,IF(G38="G",0,IF(G38="C",0,IF(G38="M",0,IF(G38="K",0,IF(AND(OR($H$11="FULL",$H$11="AUTO"),G38="D"),0,19))))))</f>
        <v>0</v>
      </c>
      <c r="CD55" s="128" t="str">
        <f>IF($H$11="NONE","ENTER CIRCUIT #19 LOAD IDENTIFIER  ( G, C, M, K )","ENTER CIRCUIT #19 LOAD IDENTIFIER  ( G, D, C, M, K )")</f>
        <v>ENTER CIRCUIT #19 LOAD IDENTIFIER  ( G, D, C, M, K )</v>
      </c>
      <c r="CE55" s="129">
        <f>IF(SUM(CE$46:CE54)=0,CF55,0)</f>
        <v>0</v>
      </c>
      <c r="CF55" s="129">
        <f>IF(H$5&lt;20,0,IF(ISBLANK(F38)=TRUE,19,IF(F38=" ",0,IF(F38="H",0,19))))</f>
        <v>0</v>
      </c>
      <c r="CG55" s="128" t="s">
        <v>115</v>
      </c>
      <c r="CH55" s="129">
        <f>IF(SUM(CH$46:CH54)=0,CI55,0)</f>
        <v>0</v>
      </c>
      <c r="CI55" s="132">
        <f>IF($H$5&lt;20,0,IF(ISBLANK($E38)=TRUE,19,IF($E38="N",0,IF($E38=" ",0,19))))</f>
        <v>0</v>
      </c>
      <c r="CJ55" s="128" t="s">
        <v>449</v>
      </c>
      <c r="CK55" s="128"/>
      <c r="CL55" s="128"/>
      <c r="CM55" s="128"/>
      <c r="CN55" s="128"/>
      <c r="CO55" s="128"/>
      <c r="CP55" s="128"/>
      <c r="CQ55" s="32"/>
      <c r="CW55" s="1" t="s">
        <v>56</v>
      </c>
      <c r="CX55" s="76">
        <f>IF($H$10="FULL",CX54,IF($H$8="3D",DC56,CX54))</f>
        <v>50</v>
      </c>
      <c r="CY55" s="81" t="str">
        <f>IF(AND($H$8="3D",$H$10="FULL"),CY54,IF($H$8="3D",DD56,CY54))</f>
        <v>#6</v>
      </c>
      <c r="CZ55" s="81">
        <f>IF($H$10="FULL",CZ54,IF($H$8="3D",DE56,CZ54))</f>
        <v>5</v>
      </c>
      <c r="DA55" s="72">
        <f>DA54</f>
        <v>1</v>
      </c>
      <c r="DB55" s="22"/>
      <c r="DC55" s="22">
        <f>VLOOKUP(DE7,CX18:DH49,4)</f>
        <v>50</v>
      </c>
      <c r="DD55" s="22" t="str">
        <f>VLOOKUP(DE7,CX18:DH49,6)</f>
        <v>#6</v>
      </c>
      <c r="DE55" s="22">
        <f>VLOOKUP(DE7,CX18:DH49,7)</f>
        <v>5</v>
      </c>
      <c r="DF55" s="22"/>
      <c r="DG55" s="22"/>
      <c r="DH55" s="22"/>
      <c r="DI55" s="22"/>
      <c r="DJ55" s="22"/>
      <c r="DK55" s="22"/>
      <c r="DL55" s="22"/>
      <c r="DN55" s="22"/>
      <c r="DV55" s="62" t="s">
        <v>38</v>
      </c>
      <c r="DW55" s="62" t="s">
        <v>38</v>
      </c>
      <c r="DX55" s="62" t="str">
        <f t="shared" si="46"/>
        <v>THHN</v>
      </c>
      <c r="DY55" s="22"/>
      <c r="DZ55" s="62" t="s">
        <v>68</v>
      </c>
      <c r="EA55" s="62" t="s">
        <v>68</v>
      </c>
      <c r="EB55" s="62" t="s">
        <v>51</v>
      </c>
      <c r="EC55" s="62" t="s">
        <v>160</v>
      </c>
      <c r="ED55" s="62" t="s">
        <v>161</v>
      </c>
      <c r="EE55" s="62" t="s">
        <v>162</v>
      </c>
      <c r="EF55" s="62" t="s">
        <v>163</v>
      </c>
      <c r="EG55" s="62" t="s">
        <v>164</v>
      </c>
      <c r="EH55" s="62" t="s">
        <v>165</v>
      </c>
      <c r="EJ55" s="48" t="s">
        <v>13</v>
      </c>
      <c r="EK55" s="155" t="str">
        <f>CY6</f>
        <v>AL</v>
      </c>
      <c r="EL55" s="22"/>
      <c r="EM55" s="22" t="s">
        <v>529</v>
      </c>
      <c r="EN55" s="22"/>
      <c r="EO55" s="22"/>
      <c r="EP55" s="22"/>
      <c r="EQ55" s="172" t="s">
        <v>253</v>
      </c>
      <c r="ER55" s="173"/>
      <c r="ES55" s="174"/>
      <c r="ET55" s="176"/>
      <c r="EU55" s="176"/>
      <c r="EV55" s="176"/>
      <c r="EW55" s="176"/>
      <c r="EX55" s="178">
        <f>IF($EK$59&gt;1,0,$EM$79)</f>
        <v>0.80800000000000005</v>
      </c>
      <c r="FG55" s="353">
        <f t="shared" si="43"/>
        <v>400.00000001000001</v>
      </c>
      <c r="FH55" s="353">
        <f>FH54</f>
        <v>75.000000009999994</v>
      </c>
      <c r="FI55" s="353">
        <v>100</v>
      </c>
      <c r="FJ55" s="353">
        <f t="shared" si="41"/>
        <v>400</v>
      </c>
      <c r="FK55" s="353">
        <f t="shared" si="45"/>
        <v>241.00000001000001</v>
      </c>
      <c r="FL55" s="354">
        <f>FM54+0.0000001</f>
        <v>100.00000009999999</v>
      </c>
      <c r="FM55" s="353">
        <v>112.5</v>
      </c>
      <c r="FN55" s="353">
        <f t="shared" si="42"/>
        <v>271</v>
      </c>
      <c r="FW55" s="368" t="s">
        <v>38</v>
      </c>
      <c r="FX55" s="62" t="s">
        <v>38</v>
      </c>
      <c r="FY55" s="62" t="str">
        <f t="shared" si="47"/>
        <v>THHN</v>
      </c>
      <c r="FZ55" s="22"/>
      <c r="GA55" s="62" t="s">
        <v>68</v>
      </c>
      <c r="GB55" s="62" t="s">
        <v>68</v>
      </c>
      <c r="GC55" s="62" t="s">
        <v>51</v>
      </c>
      <c r="GD55" s="62" t="s">
        <v>160</v>
      </c>
      <c r="GE55" s="62" t="s">
        <v>161</v>
      </c>
      <c r="GF55" s="62" t="s">
        <v>162</v>
      </c>
      <c r="GG55" s="62" t="s">
        <v>163</v>
      </c>
      <c r="GH55" s="62" t="s">
        <v>164</v>
      </c>
      <c r="GI55" s="62" t="s">
        <v>165</v>
      </c>
      <c r="GK55" s="48" t="s">
        <v>13</v>
      </c>
      <c r="GL55" s="155">
        <f>J15</f>
        <v>0</v>
      </c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</row>
    <row r="56" spans="1:208" ht="12" customHeight="1">
      <c r="A56" s="92"/>
      <c r="B56" s="106">
        <v>55</v>
      </c>
      <c r="C56" s="674"/>
      <c r="D56" s="671"/>
      <c r="E56" s="668" t="s">
        <v>12</v>
      </c>
      <c r="F56" s="667" t="s">
        <v>12</v>
      </c>
      <c r="G56" s="670" t="s">
        <v>394</v>
      </c>
      <c r="H56" s="669"/>
      <c r="I56" s="108" t="str">
        <f t="shared" si="28"/>
        <v>L2</v>
      </c>
      <c r="J56" s="669"/>
      <c r="K56" s="670" t="s">
        <v>394</v>
      </c>
      <c r="L56" s="667" t="s">
        <v>12</v>
      </c>
      <c r="M56" s="668" t="s">
        <v>12</v>
      </c>
      <c r="N56" s="671"/>
      <c r="O56" s="672"/>
      <c r="P56" s="106">
        <v>56</v>
      </c>
      <c r="Q56" s="92"/>
      <c r="S56" s="133">
        <f>IF($H$5&gt;54,1,0)</f>
        <v>1</v>
      </c>
      <c r="T56" s="126">
        <f t="shared" si="29"/>
        <v>0</v>
      </c>
      <c r="U56" s="126" t="str">
        <f>IF($H$8=1,"L2","L1")</f>
        <v>L2</v>
      </c>
      <c r="W56" s="133">
        <f>IF(T56=0,0,IF($H$8=1," ",(H56+J56)))</f>
        <v>0</v>
      </c>
      <c r="X56" s="133">
        <f>IF(T56=0,0,IF($H$8=1,(H56+J56)," "))</f>
        <v>0</v>
      </c>
      <c r="Z56" s="133" t="str">
        <f>IF($H$8=1," ",IF(T56=0,0,IF(G56="G",H56,0)))</f>
        <v xml:space="preserve"> </v>
      </c>
      <c r="AA56" s="133" t="str">
        <f>IF($H$8=1," ",IF(T56=0,0,IF(K56="G",J56,0)))</f>
        <v xml:space="preserve"> </v>
      </c>
      <c r="AB56" s="133">
        <f>IF($H$8=1,IF(T56=0,0,IF(G56="G",H56,0))," ")</f>
        <v>0</v>
      </c>
      <c r="AC56" s="133">
        <f>IF($H$8=1,IF(T56=0,0,IF(K56="G",J56,0))," ")</f>
        <v>0</v>
      </c>
      <c r="AF56" s="126" t="str">
        <f>IF($H$8=1," ",IF(T56=0,0,IF(G56="D",H56,0)))</f>
        <v xml:space="preserve"> </v>
      </c>
      <c r="AG56" s="126" t="str">
        <f>IF($H$8=1," ",IF(T56=0,0,IF(K56="D",J56,0)))</f>
        <v xml:space="preserve"> </v>
      </c>
      <c r="AH56" s="126">
        <f>IF($H$8=1,IF(T56=0,0,IF(G56="D",H56,0))," ")</f>
        <v>0</v>
      </c>
      <c r="AI56" s="126">
        <f>IF($H$8=1,IF(T56=0,0,IF(K56="D",J56,0))," ")</f>
        <v>0</v>
      </c>
      <c r="AL56" s="126" t="str">
        <f>IF($H$8=1," ",IF(T56=0,0,IF(G56="C",H56,0)))</f>
        <v xml:space="preserve"> </v>
      </c>
      <c r="AM56" s="126" t="str">
        <f>IF($H$8=1," ",IF(T56=0,0,IF(K56="C",J56,0)))</f>
        <v xml:space="preserve"> </v>
      </c>
      <c r="AN56" s="126">
        <f>IF($H$8=1,IF(T56=0,0,IF(G56="C",H56,0))," ")</f>
        <v>0</v>
      </c>
      <c r="AO56" s="126">
        <f>IF($H$8=1,IF(T56=0,0,IF(K56="C",J56,0))," ")</f>
        <v>0</v>
      </c>
      <c r="AR56" s="133">
        <f t="shared" si="26"/>
        <v>0</v>
      </c>
      <c r="AS56" s="133">
        <f t="shared" si="27"/>
        <v>0</v>
      </c>
      <c r="AT56" s="133">
        <f>IF(T56=0,0,IF($H$8=1," ",IF(G56="M",H56,0)))</f>
        <v>0</v>
      </c>
      <c r="AU56" s="133">
        <f>IF(T56=0,0,IF($H$8=1," ",IF(K56="M",J56,0)))</f>
        <v>0</v>
      </c>
      <c r="AV56" s="133">
        <f>IF(T56=0,0,IF($H$8=1,IF(G56="M",H56,0)," "))</f>
        <v>0</v>
      </c>
      <c r="AW56" s="133">
        <f>IF(T56=0,0,IF($H$8=1,IF(K56="M",J56,0)," "))</f>
        <v>0</v>
      </c>
      <c r="BA56" s="133">
        <f>IF(T56=0,0,IF($H$8=1," ",IF(G56="K",H56,0)))</f>
        <v>0</v>
      </c>
      <c r="BB56" s="133">
        <f>IF(T56=0,0,IF($H$8=1," ",IF(K56="K",J56,0)))</f>
        <v>0</v>
      </c>
      <c r="BC56" s="133">
        <f>IF(T56=0,0,IF($H$8=1,IF(G56="K",H56,0)," "))</f>
        <v>0</v>
      </c>
      <c r="BD56" s="133">
        <f>IF(T56=0,0,IF($H$8=1,IF(K56="K",J56,0)," "))</f>
        <v>0</v>
      </c>
      <c r="BE56" s="133"/>
      <c r="BF56" s="133"/>
      <c r="BG56" s="126">
        <f>IF(T56=0,0,IF(E56="N",H56,0))</f>
        <v>0</v>
      </c>
      <c r="BH56" s="133">
        <f>IF(T56=0,0,IF(M56="N",J56,0))</f>
        <v>0</v>
      </c>
      <c r="BK56" s="133"/>
      <c r="BL56" s="133"/>
      <c r="BM56" s="133">
        <f>IF(T56=0,0,IF(E56="N",H56,0))</f>
        <v>0</v>
      </c>
      <c r="BN56" s="133">
        <f>IF(T56=0,0,IF(M56="N",J56,0))</f>
        <v>0</v>
      </c>
      <c r="BO56" s="133">
        <f>IF(T56=0,0,IF(E56="N",H56,0))</f>
        <v>0</v>
      </c>
      <c r="BP56" s="133">
        <f>IF(T56=0,0,IF(M56="N",J56,0))</f>
        <v>0</v>
      </c>
      <c r="BQ56" s="133"/>
      <c r="BR56" s="133"/>
      <c r="BS56" s="133"/>
      <c r="BT56" s="133"/>
      <c r="BU56" s="133"/>
      <c r="BV56" s="133"/>
      <c r="BW56" s="133"/>
      <c r="BY56" s="130"/>
      <c r="BZ56" s="130"/>
      <c r="CA56" s="128">
        <v>21</v>
      </c>
      <c r="CB56" s="129">
        <f>IF(SUM(CB$46:CB55)=0,CC56,0)</f>
        <v>0</v>
      </c>
      <c r="CC56" s="129">
        <f>IF(H$5&lt;22,0,IF(G39="G",0,IF(G39="C",0,IF(G39="M",0,IF(G39="K",0,IF(AND(OR($H$11="FULL",$H$11="AUTO"),OR($H$8=1,$H$8="3Y"),G39="D"),0,21))))))</f>
        <v>0</v>
      </c>
      <c r="CD56" s="128" t="str">
        <f>IF($H$11="NONE","ENTER CIRCUIT #21 LOAD IDENTIFIER  ( G, C, M, K )",IF($H$8="3D","ENTER CIRCUIT #21 LOAD IDENTIFIER  ( G, C, M, K )","ENTER CIRCUIT #21 LOAD IDENTIFIER  ( G, D, C, M, K )"))</f>
        <v>ENTER CIRCUIT #21 LOAD IDENTIFIER  ( G, D, C, M, K )</v>
      </c>
      <c r="CE56" s="129">
        <f>IF(SUM(CE$46:CE55)=0,CF56,0)</f>
        <v>0</v>
      </c>
      <c r="CF56" s="129">
        <f>IF(H$5&lt;22,0,IF(ISBLANK(F39)=TRUE,21,IF(F39=" ",0,IF(F39="H",0,21))))</f>
        <v>0</v>
      </c>
      <c r="CG56" s="128" t="s">
        <v>119</v>
      </c>
      <c r="CH56" s="129">
        <f>IF(SUM(CH$46:CH55)=0,CI56,0)</f>
        <v>0</v>
      </c>
      <c r="CI56" s="132">
        <f>IF($H$5&lt;22,0,IF(ISBLANK($E39)=TRUE,21,IF($E39=" ",0,IF(AND($H$8&lt;&gt;"3D",$E39="N"),0,21))))</f>
        <v>0</v>
      </c>
      <c r="CJ56" s="128" t="str">
        <f>IF($H$8&lt;&gt;"3D","ENTER CIRCUIT #21 NEUTRAL IDENTIFIER  ( N or SPACE )","ENTER CIRCUIT #21 NEUTRAL IDENTIFIER  ( SPACE )")</f>
        <v>ENTER CIRCUIT #21 NEUTRAL IDENTIFIER  ( N or SPACE )</v>
      </c>
      <c r="CK56" s="128"/>
      <c r="CL56" s="128"/>
      <c r="CM56" s="128"/>
      <c r="CN56" s="128"/>
      <c r="CO56" s="128"/>
      <c r="CP56" s="128"/>
      <c r="CQ56" s="32"/>
      <c r="CW56" s="1" t="s">
        <v>485</v>
      </c>
      <c r="CX56" s="76">
        <f>IF($H$11="NONE",0,IF($H$11="FULL",CX54,DC60))</f>
        <v>50</v>
      </c>
      <c r="CY56" s="81" t="str">
        <f>IF($H$11="NONE","NONE",IF($H$11="FULL",CY54,DD60))</f>
        <v>#6</v>
      </c>
      <c r="CZ56" s="81">
        <f>IF($H$11="NONE",0,IF($H$11="FULL",CZ54,DE60))</f>
        <v>5</v>
      </c>
      <c r="DA56" s="72">
        <f>DA54</f>
        <v>1</v>
      </c>
      <c r="DB56" s="22"/>
      <c r="DC56" s="22">
        <f>IF(AND(DE55&lt;10,DA54&gt;1),DA23,DC55)*DA54</f>
        <v>50</v>
      </c>
      <c r="DD56" s="22" t="str">
        <f>IF(AND(DE55&lt;10,DA54&gt;1),DC23,DD55)</f>
        <v>#6</v>
      </c>
      <c r="DE56" s="22">
        <f>IF(AND(DE55&lt;10,DA54&gt;1),10,DE55)</f>
        <v>5</v>
      </c>
      <c r="DF56" s="22"/>
      <c r="DG56" s="22"/>
      <c r="DH56" s="22"/>
      <c r="DI56" s="22"/>
      <c r="DJ56" s="22"/>
      <c r="DK56" s="22"/>
      <c r="DL56" s="22"/>
      <c r="DN56" s="22"/>
      <c r="DV56" s="62" t="s">
        <v>74</v>
      </c>
      <c r="DW56" s="62" t="s">
        <v>7</v>
      </c>
      <c r="DX56" s="62" t="str">
        <f t="shared" si="46"/>
        <v>SIZE</v>
      </c>
      <c r="DY56" s="22"/>
      <c r="DZ56" s="62" t="s">
        <v>38</v>
      </c>
      <c r="EA56" s="62" t="s">
        <v>38</v>
      </c>
      <c r="EB56" s="62" t="s">
        <v>38</v>
      </c>
      <c r="EC56" s="62" t="s">
        <v>38</v>
      </c>
      <c r="ED56" s="62" t="s">
        <v>38</v>
      </c>
      <c r="EE56" s="62" t="s">
        <v>38</v>
      </c>
      <c r="EF56" s="62" t="s">
        <v>38</v>
      </c>
      <c r="EG56" s="62" t="s">
        <v>38</v>
      </c>
      <c r="EH56" s="62" t="s">
        <v>38</v>
      </c>
      <c r="EJ56" s="78" t="s">
        <v>105</v>
      </c>
      <c r="EK56" s="191">
        <f>H17</f>
        <v>50</v>
      </c>
      <c r="EL56" s="22"/>
      <c r="EM56" s="22"/>
      <c r="EN56" s="22"/>
      <c r="EO56" s="22"/>
      <c r="EP56" s="22"/>
      <c r="EQ56" s="179"/>
      <c r="ER56" s="180"/>
      <c r="ES56" s="180"/>
      <c r="ET56" s="181"/>
      <c r="EU56" s="181"/>
      <c r="EV56" s="181"/>
      <c r="EW56" s="181"/>
      <c r="EX56" s="182"/>
      <c r="FG56" s="355">
        <f t="shared" si="43"/>
        <v>400.00000001000001</v>
      </c>
      <c r="FH56" s="355">
        <f>FH55</f>
        <v>75.000000009999994</v>
      </c>
      <c r="FI56" s="355">
        <v>100</v>
      </c>
      <c r="FJ56" s="355">
        <f t="shared" si="41"/>
        <v>400</v>
      </c>
      <c r="FK56" s="355">
        <f t="shared" si="45"/>
        <v>271.00000001000001</v>
      </c>
      <c r="FL56" s="356">
        <f>FM55+0.0000001</f>
        <v>112.50000009999999</v>
      </c>
      <c r="FM56" s="355">
        <v>150</v>
      </c>
      <c r="FN56" s="355">
        <f t="shared" si="42"/>
        <v>361</v>
      </c>
      <c r="FW56" s="368" t="s">
        <v>74</v>
      </c>
      <c r="FX56" s="62" t="s">
        <v>7</v>
      </c>
      <c r="FY56" s="62" t="str">
        <f t="shared" si="47"/>
        <v>SIZE</v>
      </c>
      <c r="FZ56" s="22"/>
      <c r="GA56" s="62" t="s">
        <v>38</v>
      </c>
      <c r="GB56" s="62" t="s">
        <v>38</v>
      </c>
      <c r="GC56" s="62" t="s">
        <v>38</v>
      </c>
      <c r="GD56" s="62" t="s">
        <v>38</v>
      </c>
      <c r="GE56" s="62" t="s">
        <v>38</v>
      </c>
      <c r="GF56" s="62" t="s">
        <v>38</v>
      </c>
      <c r="GG56" s="62" t="s">
        <v>38</v>
      </c>
      <c r="GH56" s="62" t="s">
        <v>38</v>
      </c>
      <c r="GI56" s="62" t="s">
        <v>38</v>
      </c>
      <c r="GK56" s="78" t="s">
        <v>105</v>
      </c>
      <c r="GL56" s="191">
        <f>J17</f>
        <v>0</v>
      </c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</row>
    <row r="57" spans="1:208" ht="12" customHeight="1">
      <c r="A57" s="92"/>
      <c r="B57" s="106">
        <v>57</v>
      </c>
      <c r="C57" s="674"/>
      <c r="D57" s="671"/>
      <c r="E57" s="668" t="s">
        <v>12</v>
      </c>
      <c r="F57" s="667" t="s">
        <v>12</v>
      </c>
      <c r="G57" s="670" t="s">
        <v>394</v>
      </c>
      <c r="H57" s="669"/>
      <c r="I57" s="108" t="str">
        <f t="shared" si="28"/>
        <v>L1</v>
      </c>
      <c r="J57" s="669"/>
      <c r="K57" s="670" t="s">
        <v>394</v>
      </c>
      <c r="L57" s="667" t="s">
        <v>12</v>
      </c>
      <c r="M57" s="668" t="s">
        <v>12</v>
      </c>
      <c r="N57" s="671"/>
      <c r="O57" s="672"/>
      <c r="P57" s="106">
        <v>58</v>
      </c>
      <c r="Q57" s="92"/>
      <c r="S57" s="133">
        <f>IF($H$5&gt;56,1,0)</f>
        <v>1</v>
      </c>
      <c r="T57" s="126">
        <f t="shared" si="29"/>
        <v>0</v>
      </c>
      <c r="U57" s="126" t="str">
        <f>IF($H$8=1,"L1","L2")</f>
        <v>L1</v>
      </c>
      <c r="W57" s="133">
        <f>IF(T57=0,0,IF($H$8=1,(H57+J57)," "))</f>
        <v>0</v>
      </c>
      <c r="X57" s="133">
        <f>IF(T57=0,0,IF($H$8=1," ",(H57+J57)))</f>
        <v>0</v>
      </c>
      <c r="Z57" s="133">
        <f>IF($H$8=1,IF(T57=0,0,IF(G57="G",H57,0))," ")</f>
        <v>0</v>
      </c>
      <c r="AA57" s="133">
        <f>IF($H$8=1,IF(T57=0,0,IF(K57="G",J57,0))," ")</f>
        <v>0</v>
      </c>
      <c r="AB57" s="133" t="str">
        <f>IF($H$8=1," ",IF(T57=0,0,IF(G57="G",H57,0)))</f>
        <v xml:space="preserve"> </v>
      </c>
      <c r="AC57" s="133" t="str">
        <f>IF($H$8=1," ",IF(T57=0,0,IF(K57="G",J57,0)))</f>
        <v xml:space="preserve"> </v>
      </c>
      <c r="AF57" s="126">
        <f>IF($H$8=1,IF(T57=0,0,IF(G57="D",H57,0))," ")</f>
        <v>0</v>
      </c>
      <c r="AG57" s="126">
        <f>IF($H$8=1,IF(T57=0,0,IF(K57="D",J57,0))," ")</f>
        <v>0</v>
      </c>
      <c r="AH57" s="126" t="str">
        <f>IF($H$8=1," ",IF(T57=0,0,IF(G57="D",H57,0)))</f>
        <v xml:space="preserve"> </v>
      </c>
      <c r="AI57" s="126" t="str">
        <f>IF($H$8=1," ",IF(T57=0,0,IF(K57="D",J57,0)))</f>
        <v xml:space="preserve"> </v>
      </c>
      <c r="AL57" s="126">
        <f>IF($H$8=1,IF(T57=0,0,IF(G57="C",H57,0))," ")</f>
        <v>0</v>
      </c>
      <c r="AM57" s="126">
        <f>IF($H$8=1,IF(T57=0,0,IF(K57="C",J57,0))," ")</f>
        <v>0</v>
      </c>
      <c r="AN57" s="126" t="str">
        <f>IF($H$8=1," ",IF(T57=0,0,IF(G57="C",H57,0)))</f>
        <v xml:space="preserve"> </v>
      </c>
      <c r="AO57" s="126" t="str">
        <f>IF($H$8=1," ",IF(T57=0,0,IF(K57="C",J57,0)))</f>
        <v xml:space="preserve"> </v>
      </c>
      <c r="AR57" s="133">
        <f t="shared" si="26"/>
        <v>0</v>
      </c>
      <c r="AS57" s="133">
        <f t="shared" si="27"/>
        <v>0</v>
      </c>
      <c r="AT57" s="133">
        <f>IF(T57=0,0,IF($H$8=1,IF(G57="M",H57,0)," "))</f>
        <v>0</v>
      </c>
      <c r="AU57" s="133">
        <f>IF(T57=0,0,IF($H$8=1,IF(K57="M",J57,0)," "))</f>
        <v>0</v>
      </c>
      <c r="AV57" s="133">
        <f>IF(T57=0,0,IF($H$8=1," ",IF(G57="M",H57,0)))</f>
        <v>0</v>
      </c>
      <c r="AW57" s="133">
        <f>IF(T57=0,0,IF($H$8=1," ",IF(K57="M",J57,0)))</f>
        <v>0</v>
      </c>
      <c r="BA57" s="133">
        <f>IF(T57=0,0,IF($H$8=1,IF(G57="K",H57,0)," "))</f>
        <v>0</v>
      </c>
      <c r="BB57" s="133">
        <f>IF(T57=0,0,IF($H$8=1,IF(K57="K",J57,0)," "))</f>
        <v>0</v>
      </c>
      <c r="BC57" s="133">
        <f>IF(T57=0,0,IF($H$8=1," ",IF(G57="K",H57,0)))</f>
        <v>0</v>
      </c>
      <c r="BD57" s="133">
        <f>IF(T57=0,0,IF($H$8=1," ",IF(K57="K",J57,0)))</f>
        <v>0</v>
      </c>
      <c r="BE57" s="133"/>
      <c r="BF57" s="133"/>
      <c r="BK57" s="133">
        <f>IF(T57=0,0,IF(E57="N",H57,0))</f>
        <v>0</v>
      </c>
      <c r="BL57" s="133">
        <f>IF(T57=0,0,IF(M57="N",J57,0))</f>
        <v>0</v>
      </c>
      <c r="BM57" s="133"/>
      <c r="BN57" s="133"/>
      <c r="BO57" s="133"/>
      <c r="BP57" s="133"/>
      <c r="BQ57" s="133">
        <f>IF(T57=0,0,IF(E57="N",H57,0))</f>
        <v>0</v>
      </c>
      <c r="BR57" s="133">
        <f>IF(T57=0,0,IF(M57="N",J57,0))</f>
        <v>0</v>
      </c>
      <c r="BS57" s="133"/>
      <c r="BT57" s="133"/>
      <c r="BU57" s="133"/>
      <c r="BV57" s="133"/>
      <c r="BW57" s="133"/>
      <c r="BY57" s="136"/>
      <c r="BZ57" s="130"/>
      <c r="CA57" s="128">
        <v>23</v>
      </c>
      <c r="CB57" s="129">
        <f>IF(SUM(CB$46:CB56)=0,CC57,0)</f>
        <v>0</v>
      </c>
      <c r="CC57" s="129">
        <f>IF(H$5&lt;24,0,IF(G40="G",0,IF(G40="C",0,IF(G40="M",0,IF(G40="K",0,IF(AND(OR($H$11="FULL",$H$11="AUTO"),G40="D"),0,23))))))</f>
        <v>0</v>
      </c>
      <c r="CD57" s="128" t="str">
        <f>IF($H$11="NONE","ENTER CIRCUIT #23 LOAD IDENTIFIER  ( G, C, M, K )","ENTER CIRCUIT #23 LOAD IDENTIFIER  ( G, D, C, M, K )")</f>
        <v>ENTER CIRCUIT #23 LOAD IDENTIFIER  ( G, D, C, M, K )</v>
      </c>
      <c r="CE57" s="129">
        <f>IF(SUM(CE$46:CE56)=0,CF57,0)</f>
        <v>0</v>
      </c>
      <c r="CF57" s="129">
        <f>IF(H$5&lt;24,0,IF(ISBLANK(F40)=TRUE,23,IF(F40=" ",0,IF(F40="H",0,23))))</f>
        <v>0</v>
      </c>
      <c r="CG57" s="128" t="s">
        <v>120</v>
      </c>
      <c r="CH57" s="129">
        <f>IF(SUM(CH$46:CH56)=0,CI57,0)</f>
        <v>0</v>
      </c>
      <c r="CI57" s="132">
        <f>IF($H$5&lt;24,0,IF(ISBLANK($E40)=TRUE,23,IF($E40="N",0,IF($E40=" ",0,23))))</f>
        <v>0</v>
      </c>
      <c r="CJ57" s="128" t="s">
        <v>450</v>
      </c>
      <c r="CK57" s="128"/>
      <c r="CL57" s="128"/>
      <c r="CM57" s="128"/>
      <c r="CN57" s="128"/>
      <c r="CO57" s="128"/>
      <c r="CP57" s="128"/>
      <c r="CQ57" s="32"/>
      <c r="CW57" s="1" t="s">
        <v>580</v>
      </c>
      <c r="CX57" s="22">
        <f>VLOOKUP(DG9,CX18:DH49,4)</f>
        <v>50</v>
      </c>
      <c r="CY57" s="22" t="str">
        <f>VLOOKUP(DG9,CY18:DC37,5)</f>
        <v>#6</v>
      </c>
      <c r="CZ57" s="22">
        <f>VLOOKUP(DG9,CY18:DD37,6)</f>
        <v>5</v>
      </c>
      <c r="DA57" s="22">
        <f>VLOOKUP(DG9,CY18:DE37,7)</f>
        <v>1</v>
      </c>
      <c r="DB57" s="293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N57" s="22"/>
      <c r="DV57" s="62"/>
      <c r="DW57" s="62"/>
      <c r="DX57" s="57" t="str">
        <f t="shared" si="46"/>
        <v>SQ IN</v>
      </c>
      <c r="DY57" s="22"/>
      <c r="DZ57" s="62" t="s">
        <v>74</v>
      </c>
      <c r="EA57" s="62" t="s">
        <v>7</v>
      </c>
      <c r="EB57" s="62" t="s">
        <v>59</v>
      </c>
      <c r="EC57" s="62" t="s">
        <v>59</v>
      </c>
      <c r="ED57" s="62" t="s">
        <v>59</v>
      </c>
      <c r="EE57" s="62" t="s">
        <v>59</v>
      </c>
      <c r="EF57" s="62" t="s">
        <v>59</v>
      </c>
      <c r="EG57" s="62" t="s">
        <v>59</v>
      </c>
      <c r="EH57" s="62" t="s">
        <v>59</v>
      </c>
      <c r="EJ57" s="78" t="s">
        <v>108</v>
      </c>
      <c r="EK57" s="289">
        <f>MAX('S-Calcs'!F27:J27)</f>
        <v>0</v>
      </c>
      <c r="EL57" s="22">
        <f>MAX('S-Calcs'!F27:M27)</f>
        <v>0</v>
      </c>
      <c r="EM57" s="22">
        <f>'S-Calcs'!I27</f>
        <v>0</v>
      </c>
      <c r="EN57" s="22">
        <f>MAX('S-Calcs'!F27:M27)</f>
        <v>0</v>
      </c>
      <c r="EO57" s="22"/>
      <c r="EP57" s="22"/>
      <c r="EQ57" s="183" t="s">
        <v>254</v>
      </c>
      <c r="ER57" s="184"/>
      <c r="ES57" s="184"/>
      <c r="ET57" s="185"/>
      <c r="EU57" s="185"/>
      <c r="EV57" s="185"/>
      <c r="EW57" s="185"/>
      <c r="EX57" s="186">
        <f>ROUND(MAX(EX53:EX55),4)</f>
        <v>0.80800000000000005</v>
      </c>
      <c r="FW57" s="368"/>
      <c r="FX57" s="62"/>
      <c r="FY57" s="57" t="str">
        <f t="shared" si="47"/>
        <v>SQ IN</v>
      </c>
      <c r="FZ57" s="22"/>
      <c r="GA57" s="62" t="s">
        <v>74</v>
      </c>
      <c r="GB57" s="62" t="s">
        <v>7</v>
      </c>
      <c r="GC57" s="62" t="s">
        <v>59</v>
      </c>
      <c r="GD57" s="62" t="s">
        <v>59</v>
      </c>
      <c r="GE57" s="62" t="s">
        <v>59</v>
      </c>
      <c r="GF57" s="62" t="s">
        <v>59</v>
      </c>
      <c r="GG57" s="62" t="s">
        <v>59</v>
      </c>
      <c r="GH57" s="62" t="s">
        <v>59</v>
      </c>
      <c r="GI57" s="62" t="s">
        <v>59</v>
      </c>
      <c r="GK57" s="78" t="s">
        <v>108</v>
      </c>
      <c r="GL57" s="289">
        <f>IF(H8="3Y",GO51,GN51)</f>
        <v>0</v>
      </c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</row>
    <row r="58" spans="1:208" ht="12" customHeight="1">
      <c r="A58" s="92"/>
      <c r="B58" s="106">
        <v>59</v>
      </c>
      <c r="C58" s="674"/>
      <c r="D58" s="671"/>
      <c r="E58" s="668" t="s">
        <v>12</v>
      </c>
      <c r="F58" s="667" t="s">
        <v>12</v>
      </c>
      <c r="G58" s="670" t="s">
        <v>394</v>
      </c>
      <c r="H58" s="669"/>
      <c r="I58" s="108" t="str">
        <f t="shared" si="28"/>
        <v>L2</v>
      </c>
      <c r="J58" s="669"/>
      <c r="K58" s="670" t="s">
        <v>394</v>
      </c>
      <c r="L58" s="667" t="s">
        <v>12</v>
      </c>
      <c r="M58" s="668" t="s">
        <v>12</v>
      </c>
      <c r="N58" s="671"/>
      <c r="O58" s="672"/>
      <c r="P58" s="106">
        <v>60</v>
      </c>
      <c r="Q58" s="92"/>
      <c r="S58" s="133">
        <f>IF($H$5&gt;58,1,0)</f>
        <v>1</v>
      </c>
      <c r="T58" s="126">
        <f t="shared" si="29"/>
        <v>0</v>
      </c>
      <c r="U58" s="126" t="str">
        <f>IF($H$8=1,"L2","L3")</f>
        <v>L2</v>
      </c>
      <c r="X58" s="133">
        <f>IF(T58=0,0,IF($H$8=1,(H58+J58)," "))</f>
        <v>0</v>
      </c>
      <c r="Y58" s="133">
        <f>IF(T58=0,0,IF($H$8=1," ",(H58+J58)))</f>
        <v>0</v>
      </c>
      <c r="AB58" s="133">
        <f>IF($H$8=1,IF(T58=0,0,IF(G58="G",H58,0))," ")</f>
        <v>0</v>
      </c>
      <c r="AC58" s="133">
        <f>IF($H$8=1,IF(T58=0,0,IF(K58="G",J58,0))," ")</f>
        <v>0</v>
      </c>
      <c r="AD58" s="133" t="str">
        <f>IF($H$8=1," ",IF(T58=0,0,IF(G58="G",H58,0)))</f>
        <v xml:space="preserve"> </v>
      </c>
      <c r="AE58" s="133" t="str">
        <f>IF($H$8=1," ",IF(T58=0,0,IF(K58="G",J58,0)))</f>
        <v xml:space="preserve"> </v>
      </c>
      <c r="AH58" s="126">
        <f>IF($H$8=1,IF(T58=0,0,IF(G58="D",H58,0))," ")</f>
        <v>0</v>
      </c>
      <c r="AI58" s="126">
        <f>IF($H$8=1,IF(T58=0,0,IF(K58="D",J58,0))," ")</f>
        <v>0</v>
      </c>
      <c r="AJ58" s="126" t="str">
        <f>IF($H$8=1," ",IF(T58=0,0,IF(G58="D",H58,0)))</f>
        <v xml:space="preserve"> </v>
      </c>
      <c r="AK58" s="126" t="str">
        <f>IF($H$8=1," ",IF(T58=0,0,IF(K58="D",J58,0)))</f>
        <v xml:space="preserve"> </v>
      </c>
      <c r="AN58" s="126">
        <f>IF($H$8=1,IF(T58=0,0,IF(G58="C",H58,0))," ")</f>
        <v>0</v>
      </c>
      <c r="AO58" s="126">
        <f>IF($H$8=1,IF(T58=0,0,IF(K58="C",J58,0))," ")</f>
        <v>0</v>
      </c>
      <c r="AP58" s="126" t="str">
        <f>IF($H$8=1," ",IF(T58=0,0,IF(G58="C",H58,0)))</f>
        <v xml:space="preserve"> </v>
      </c>
      <c r="AQ58" s="126" t="str">
        <f>IF($H$8=1," ",IF(T58=0,0,IF(K58="C",J58,0)))</f>
        <v xml:space="preserve"> </v>
      </c>
      <c r="AR58" s="133">
        <f t="shared" si="26"/>
        <v>0</v>
      </c>
      <c r="AS58" s="133">
        <f t="shared" si="27"/>
        <v>0</v>
      </c>
      <c r="AV58" s="133">
        <f>IF(T58=0,0,IF($H$8=1,IF(G58="M",H58,0)," "))</f>
        <v>0</v>
      </c>
      <c r="AW58" s="133">
        <f>IF(T58=0,0,IF($H$8=1,IF(K58="M",J58,0)," "))</f>
        <v>0</v>
      </c>
      <c r="AX58" s="133">
        <f>IF(T58=0,0,IF($H$8=1," ",IF(G58="M",H58,0)))</f>
        <v>0</v>
      </c>
      <c r="AY58" s="133">
        <f>IF(T58=0,0,IF($H$8=1," ",IF(K58="M",J58,0)))</f>
        <v>0</v>
      </c>
      <c r="BA58" s="133"/>
      <c r="BB58" s="133"/>
      <c r="BC58" s="133">
        <f>IF(T58=0,0,IF($H$8=1,IF(G58="K",H58,0)," "))</f>
        <v>0</v>
      </c>
      <c r="BD58" s="133">
        <f>IF(T58=0,0,IF($H$8=1,IF(K58="K",J58,0)," "))</f>
        <v>0</v>
      </c>
      <c r="BE58" s="133">
        <f>IF(T58=0,0,IF($H$8=1," ",IF(G58="K",H58,0)))</f>
        <v>0</v>
      </c>
      <c r="BF58" s="133">
        <f>IF(T58=0,0,IF($H$8=1," ",IF(K58="K",J58,0)))</f>
        <v>0</v>
      </c>
      <c r="BG58" s="126"/>
      <c r="BI58" s="133">
        <f>IF(T58=0,0,IF(E58="N",H58,0))</f>
        <v>0</v>
      </c>
      <c r="BJ58" s="133">
        <f>IF(T58=0,0,IF(M58="N",J58,0))</f>
        <v>0</v>
      </c>
      <c r="BK58" s="133"/>
      <c r="BL58" s="133"/>
      <c r="BM58" s="133">
        <f>IF(T58=0,0,IF(E58="N",H58,0))</f>
        <v>0</v>
      </c>
      <c r="BN58" s="133">
        <f>IF(T58=0,0,IF(M58="N",J58,0))</f>
        <v>0</v>
      </c>
      <c r="BO58" s="133"/>
      <c r="BP58" s="133"/>
      <c r="BQ58" s="133"/>
      <c r="BR58" s="133"/>
      <c r="BS58" s="133">
        <f>IF(T58=0,0,IF(E58="N",H58,0))</f>
        <v>0</v>
      </c>
      <c r="BT58" s="133">
        <f>IF(T58=0,0,IF(M58="N",J58,0))</f>
        <v>0</v>
      </c>
      <c r="BU58" s="133"/>
      <c r="BV58" s="133"/>
      <c r="BW58" s="133"/>
      <c r="BY58" s="130"/>
      <c r="BZ58" s="130"/>
      <c r="CA58" s="128">
        <v>25</v>
      </c>
      <c r="CB58" s="129">
        <f>IF(SUM(CB$46:CB57)=0,CC58,0)</f>
        <v>0</v>
      </c>
      <c r="CC58" s="129">
        <f>IF(H$5&lt;26,0,IF(G41="G",0,IF(G41="C",0,IF(G41="M",0,IF(G41="K",0,IF(AND(OR($H$11="FULL",$H$11="AUTO"),G41="D"),0,25))))))</f>
        <v>0</v>
      </c>
      <c r="CD58" s="128" t="str">
        <f>IF($H$11="NONE","ENTER CIRCUIT #25 LOAD IDENTIFIER  ( G, C, M, K )","ENTER CIRCUIT #25 LOAD IDENTIFIER  ( G, D, C, M, K )")</f>
        <v>ENTER CIRCUIT #25 LOAD IDENTIFIER  ( G, D, C, M, K )</v>
      </c>
      <c r="CE58" s="129">
        <f>IF(SUM(CE$46:CE57)=0,CF58,0)</f>
        <v>0</v>
      </c>
      <c r="CF58" s="129">
        <f>IF(H$5&lt;26,0,IF(ISBLANK(F41)=TRUE,25,IF(F41=" ",0,IF(F41="H",0,25))))</f>
        <v>0</v>
      </c>
      <c r="CG58" s="128" t="s">
        <v>121</v>
      </c>
      <c r="CH58" s="129">
        <f>IF(SUM(CH$46:CH57)=0,CI58,0)</f>
        <v>0</v>
      </c>
      <c r="CI58" s="132">
        <f>IF($H$5&lt;26,0,IF(ISBLANK($E41)=TRUE,25,IF($E41="N",0,IF($E41=" ",0,25))))</f>
        <v>0</v>
      </c>
      <c r="CJ58" s="128" t="s">
        <v>451</v>
      </c>
      <c r="CK58" s="128"/>
      <c r="CL58" s="128"/>
      <c r="CM58" s="128"/>
      <c r="CN58" s="128"/>
      <c r="CO58" s="128"/>
      <c r="CP58" s="128"/>
      <c r="CQ58" s="32"/>
      <c r="CX58" s="22"/>
      <c r="CY58" s="22"/>
      <c r="CZ58" s="22"/>
      <c r="DA58" s="22"/>
      <c r="DB58" s="22"/>
      <c r="DC58" s="22" t="s">
        <v>471</v>
      </c>
      <c r="DD58" s="22"/>
      <c r="DE58" s="22"/>
      <c r="DF58" s="22"/>
      <c r="DG58" s="22"/>
      <c r="DH58" s="22"/>
      <c r="DI58" s="22"/>
      <c r="DJ58" s="22"/>
      <c r="DK58" s="22"/>
      <c r="DL58" s="22"/>
      <c r="DN58" s="22"/>
      <c r="DV58" s="58" t="s">
        <v>169</v>
      </c>
      <c r="DW58" s="58">
        <v>3</v>
      </c>
      <c r="DX58" s="58">
        <f t="shared" si="46"/>
        <v>2.1100000000000001E-2</v>
      </c>
      <c r="DY58" s="22"/>
      <c r="DZ58" s="58" t="s">
        <v>169</v>
      </c>
      <c r="EA58" s="58">
        <v>3</v>
      </c>
      <c r="EB58" s="82">
        <v>3.3300000000000003E-2</v>
      </c>
      <c r="EC58" s="82">
        <v>3.3300000000000003E-2</v>
      </c>
      <c r="ED58" s="82">
        <v>2.1100000000000001E-2</v>
      </c>
      <c r="EE58" s="82">
        <v>2.4299999999999999E-2</v>
      </c>
      <c r="EF58" s="82">
        <v>5.0999999999999997E-2</v>
      </c>
      <c r="EG58" s="82">
        <v>5.0999999999999997E-2</v>
      </c>
      <c r="EH58" s="82">
        <v>3.9399999999999998E-2</v>
      </c>
      <c r="EJ58" s="78" t="s">
        <v>170</v>
      </c>
      <c r="EK58" s="187">
        <f>H6</f>
        <v>240</v>
      </c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FW58" s="367" t="s">
        <v>169</v>
      </c>
      <c r="FX58" s="58">
        <v>3</v>
      </c>
      <c r="FY58" s="58">
        <f t="shared" si="47"/>
        <v>2.1100000000000001E-2</v>
      </c>
      <c r="FZ58" s="22"/>
      <c r="GA58" s="58" t="s">
        <v>169</v>
      </c>
      <c r="GB58" s="58">
        <v>3</v>
      </c>
      <c r="GC58" s="82">
        <v>3.3300000000000003E-2</v>
      </c>
      <c r="GD58" s="82">
        <v>3.3300000000000003E-2</v>
      </c>
      <c r="GE58" s="82">
        <v>2.1100000000000001E-2</v>
      </c>
      <c r="GF58" s="82">
        <v>2.4299999999999999E-2</v>
      </c>
      <c r="GG58" s="82">
        <v>5.0999999999999997E-2</v>
      </c>
      <c r="GH58" s="82">
        <v>5.0999999999999997E-2</v>
      </c>
      <c r="GI58" s="82">
        <v>3.9399999999999998E-2</v>
      </c>
      <c r="GK58" s="78" t="s">
        <v>170</v>
      </c>
      <c r="GL58" s="187">
        <f>Input!H6</f>
        <v>240</v>
      </c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</row>
    <row r="59" spans="1:208" ht="12" customHeight="1">
      <c r="A59" s="92"/>
      <c r="B59" s="106">
        <v>61</v>
      </c>
      <c r="C59" s="674"/>
      <c r="D59" s="671"/>
      <c r="E59" s="668" t="s">
        <v>12</v>
      </c>
      <c r="F59" s="667" t="s">
        <v>12</v>
      </c>
      <c r="G59" s="670" t="s">
        <v>394</v>
      </c>
      <c r="H59" s="669"/>
      <c r="I59" s="108" t="str">
        <f t="shared" si="28"/>
        <v>L1</v>
      </c>
      <c r="J59" s="669"/>
      <c r="K59" s="670" t="s">
        <v>394</v>
      </c>
      <c r="L59" s="667" t="s">
        <v>12</v>
      </c>
      <c r="M59" s="668" t="s">
        <v>12</v>
      </c>
      <c r="N59" s="671"/>
      <c r="O59" s="672"/>
      <c r="P59" s="106">
        <v>62</v>
      </c>
      <c r="Q59" s="92"/>
      <c r="S59" s="133">
        <f>IF($H$5&gt;60,1,0)</f>
        <v>1</v>
      </c>
      <c r="T59" s="126">
        <f t="shared" si="29"/>
        <v>0</v>
      </c>
      <c r="U59" s="126" t="str">
        <f>IF($H$8=1,"L1","L1")</f>
        <v>L1</v>
      </c>
      <c r="W59" s="133">
        <f>IF(T59=0,0,(H59+J59))</f>
        <v>0</v>
      </c>
      <c r="Z59" s="133">
        <f>IF(T59=0,0,IF(G59="G",H59,0))</f>
        <v>0</v>
      </c>
      <c r="AA59" s="133">
        <f>IF(T59=0,0,IF(K59="G",J59,0))</f>
        <v>0</v>
      </c>
      <c r="AF59" s="126">
        <f>IF(T59=0,0,IF(G59="D",H59,0))</f>
        <v>0</v>
      </c>
      <c r="AG59" s="126">
        <f>IF(T59=0,0,IF(K59="D",J59,0))</f>
        <v>0</v>
      </c>
      <c r="AL59" s="126">
        <f>IF(T59=0,0,IF(G59="C",H59,0))</f>
        <v>0</v>
      </c>
      <c r="AM59" s="126">
        <f>IF(T59=0,0,IF(K59="C",J59,0))</f>
        <v>0</v>
      </c>
      <c r="AR59" s="133">
        <f t="shared" si="26"/>
        <v>0</v>
      </c>
      <c r="AS59" s="133">
        <f t="shared" si="27"/>
        <v>0</v>
      </c>
      <c r="AT59" s="133">
        <f>IF(T59=0,0,IF(G59="M",H59,0))</f>
        <v>0</v>
      </c>
      <c r="AU59" s="133">
        <f>IF(T59=0,0,IF(K59="M",J59,0))</f>
        <v>0</v>
      </c>
      <c r="BA59" s="133">
        <f>IF(T59=0,0,IF(G59="K",H59,0))</f>
        <v>0</v>
      </c>
      <c r="BB59" s="133">
        <f>IF(T59=0,0,IF(K59="K",J59,0))</f>
        <v>0</v>
      </c>
      <c r="BC59" s="133"/>
      <c r="BD59" s="133"/>
      <c r="BE59" s="133"/>
      <c r="BF59" s="133"/>
      <c r="BG59" s="126">
        <f>IF(T59=0,0,IF(E59="N",H59,0))</f>
        <v>0</v>
      </c>
      <c r="BH59" s="133">
        <f>IF(T59=0,0,IF(M59="N",J59,0))</f>
        <v>0</v>
      </c>
      <c r="BK59" s="133">
        <f>IF(T59=0,0,IF(E59="N",H59,0))</f>
        <v>0</v>
      </c>
      <c r="BL59" s="133">
        <f>IF(T59=0,0,IF(M59="N",J59,0))</f>
        <v>0</v>
      </c>
      <c r="BM59" s="133"/>
      <c r="BN59" s="133"/>
      <c r="BO59" s="133">
        <f>IF(T59=0,0,IF(E59="N",H59,0))</f>
        <v>0</v>
      </c>
      <c r="BP59" s="133">
        <f>IF(T59=0,0,IF(M59="N",J59,0))</f>
        <v>0</v>
      </c>
      <c r="BQ59" s="133"/>
      <c r="BR59" s="133"/>
      <c r="BS59" s="133"/>
      <c r="BT59" s="133"/>
      <c r="BU59" s="133"/>
      <c r="BV59" s="133"/>
      <c r="BW59" s="133"/>
      <c r="BY59" s="130"/>
      <c r="BZ59" s="130"/>
      <c r="CA59" s="128">
        <v>27</v>
      </c>
      <c r="CB59" s="129">
        <f>IF(SUM(CB$46:CB58)=0,CC59,0)</f>
        <v>0</v>
      </c>
      <c r="CC59" s="129">
        <f>IF(H$5&lt;28,0,IF(G42="G",0,IF(G42="C",0,IF(G42="M",0,IF(G42="K",0,IF(AND(OR($H$11="FULL",$H$11="AUTO"),OR($H$8=1,$H$8="3Y"),G42="D"),0,27))))))</f>
        <v>0</v>
      </c>
      <c r="CD59" s="128" t="str">
        <f>IF($H$11="NONE","ENTER CIRCUIT #27 LOAD IDENTIFIER  ( G, C, M, K )",IF($H$8="3D","ENTER CIRCUIT #27 LOAD IDENTIFIER  ( G, C, M, K )","ENTER CIRCUIT #27 LOAD IDENTIFIER  ( G, D, C, M, K )"))</f>
        <v>ENTER CIRCUIT #27 LOAD IDENTIFIER  ( G, D, C, M, K )</v>
      </c>
      <c r="CE59" s="129">
        <f>IF(SUM(CE$46:CE58)=0,CF59,0)</f>
        <v>0</v>
      </c>
      <c r="CF59" s="129">
        <f>IF(H$5&lt;28,0,IF(ISBLANK(F42)=TRUE,27,IF(F42=" ",0,IF(F42="H",0,27))))</f>
        <v>0</v>
      </c>
      <c r="CG59" s="128" t="s">
        <v>122</v>
      </c>
      <c r="CH59" s="129">
        <f>IF(SUM(CH$46:CH58)=0,CI59,0)</f>
        <v>0</v>
      </c>
      <c r="CI59" s="132">
        <f>IF($H$5&lt;28,0,IF(ISBLANK($E42)=TRUE,27,IF($E42=" ",0,IF(AND($H$8&lt;&gt;"3D",$E42="N"),0,27))))</f>
        <v>0</v>
      </c>
      <c r="CJ59" s="128" t="str">
        <f>IF($H$8&lt;&gt;"3D","ENTER CIRCUIT #27 NEUTRAL IDENTIFIER  ( N or SPACE )","ENTER CIRCUIT #27 NEUTRAL IDENTIFIER  ( SPACE )")</f>
        <v>ENTER CIRCUIT #27 NEUTRAL IDENTIFIER  ( N or SPACE )</v>
      </c>
      <c r="CK59" s="128"/>
      <c r="CL59" s="128"/>
      <c r="CM59" s="128"/>
      <c r="CN59" s="128"/>
      <c r="CO59" s="128"/>
      <c r="CP59" s="128"/>
      <c r="CQ59" s="32"/>
      <c r="CX59" s="45" t="s">
        <v>172</v>
      </c>
      <c r="CY59" s="45"/>
      <c r="CZ59" s="22"/>
      <c r="DA59" s="330"/>
      <c r="DB59" s="22"/>
      <c r="DC59" s="22">
        <f>VLOOKUP(DE10,CX18:DH49,4)</f>
        <v>50</v>
      </c>
      <c r="DD59" s="22" t="str">
        <f>VLOOKUP(DE10,CX18:DH49,6)</f>
        <v>#6</v>
      </c>
      <c r="DE59" s="22">
        <f>VLOOKUP(DE10,CX18:DH49,7)</f>
        <v>5</v>
      </c>
      <c r="DF59" s="22"/>
      <c r="DG59" s="22"/>
      <c r="DH59" s="22"/>
      <c r="DI59" s="22"/>
      <c r="DJ59" s="22"/>
      <c r="DK59" s="22"/>
      <c r="DL59" s="22"/>
      <c r="DN59" s="22"/>
      <c r="DV59" s="62" t="s">
        <v>173</v>
      </c>
      <c r="DW59" s="62">
        <v>4</v>
      </c>
      <c r="DX59" s="58">
        <f t="shared" si="46"/>
        <v>3.6600000000000001E-2</v>
      </c>
      <c r="DY59" s="22"/>
      <c r="DZ59" s="62" t="s">
        <v>173</v>
      </c>
      <c r="EA59" s="62">
        <v>4</v>
      </c>
      <c r="EB59" s="63">
        <v>5.5599999999999997E-2</v>
      </c>
      <c r="EC59" s="63">
        <v>5.5599999999999997E-2</v>
      </c>
      <c r="ED59" s="63">
        <v>3.6600000000000001E-2</v>
      </c>
      <c r="EE59" s="63">
        <v>4.3700000000000003E-2</v>
      </c>
      <c r="EF59" s="63">
        <v>5.0999999999999997E-2</v>
      </c>
      <c r="EG59" s="63">
        <v>5.0999999999999997E-2</v>
      </c>
      <c r="EH59" s="63">
        <v>3.9399999999999998E-2</v>
      </c>
      <c r="EJ59" s="78" t="s">
        <v>19</v>
      </c>
      <c r="EK59" s="50">
        <f>DA54</f>
        <v>1</v>
      </c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FW59" s="368" t="s">
        <v>173</v>
      </c>
      <c r="FX59" s="62">
        <v>4</v>
      </c>
      <c r="FY59" s="58">
        <f t="shared" si="47"/>
        <v>3.6600000000000001E-2</v>
      </c>
      <c r="FZ59" s="22"/>
      <c r="GA59" s="62" t="s">
        <v>173</v>
      </c>
      <c r="GB59" s="62">
        <v>4</v>
      </c>
      <c r="GC59" s="63">
        <v>5.5599999999999997E-2</v>
      </c>
      <c r="GD59" s="63">
        <v>5.5599999999999997E-2</v>
      </c>
      <c r="GE59" s="63">
        <v>3.6600000000000001E-2</v>
      </c>
      <c r="GF59" s="63">
        <v>4.3700000000000003E-2</v>
      </c>
      <c r="GG59" s="63">
        <v>5.0999999999999997E-2</v>
      </c>
      <c r="GH59" s="63">
        <v>5.0999999999999997E-2</v>
      </c>
      <c r="GI59" s="63">
        <v>3.9399999999999998E-2</v>
      </c>
      <c r="GK59" s="78" t="s">
        <v>19</v>
      </c>
      <c r="GL59" s="50">
        <f>DA57</f>
        <v>1</v>
      </c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</row>
    <row r="60" spans="1:208" ht="12" customHeight="1">
      <c r="A60" s="92"/>
      <c r="B60" s="106">
        <v>63</v>
      </c>
      <c r="C60" s="674"/>
      <c r="D60" s="671"/>
      <c r="E60" s="668" t="s">
        <v>12</v>
      </c>
      <c r="F60" s="667" t="s">
        <v>12</v>
      </c>
      <c r="G60" s="670" t="s">
        <v>394</v>
      </c>
      <c r="H60" s="669"/>
      <c r="I60" s="108" t="str">
        <f t="shared" si="28"/>
        <v>L2</v>
      </c>
      <c r="J60" s="669"/>
      <c r="K60" s="670" t="s">
        <v>394</v>
      </c>
      <c r="L60" s="667" t="s">
        <v>12</v>
      </c>
      <c r="M60" s="668" t="s">
        <v>12</v>
      </c>
      <c r="N60" s="671"/>
      <c r="O60" s="672"/>
      <c r="P60" s="106">
        <v>64</v>
      </c>
      <c r="Q60" s="92"/>
      <c r="S60" s="133">
        <f>IF($H$5&gt;62,1,0)</f>
        <v>1</v>
      </c>
      <c r="T60" s="126">
        <f t="shared" si="29"/>
        <v>0</v>
      </c>
      <c r="U60" s="126" t="str">
        <f>IF($H$8=1,"L2","L2")</f>
        <v>L2</v>
      </c>
      <c r="X60" s="133">
        <f>IF(T60=0,0,(H60+J60))</f>
        <v>0</v>
      </c>
      <c r="AB60" s="133">
        <f>IF(T60=0,0,IF(G60="G",H60,0))</f>
        <v>0</v>
      </c>
      <c r="AC60" s="133">
        <f>IF(T60=0,0,IF(K60="G",J60,0))</f>
        <v>0</v>
      </c>
      <c r="AH60" s="126">
        <f>IF(T60=0,0,IF(G60="D",H60,0))</f>
        <v>0</v>
      </c>
      <c r="AI60" s="126">
        <f>IF(T60=0,0,IF(K60="D",J60,0))</f>
        <v>0</v>
      </c>
      <c r="AN60" s="126">
        <f>IF(T60=0,0,IF(G60="C",H60,0))</f>
        <v>0</v>
      </c>
      <c r="AO60" s="126">
        <f>IF(T60=0,0,IF(K60="C",J60,0))</f>
        <v>0</v>
      </c>
      <c r="AR60" s="133">
        <f t="shared" si="26"/>
        <v>0</v>
      </c>
      <c r="AS60" s="133">
        <f t="shared" si="27"/>
        <v>0</v>
      </c>
      <c r="AV60" s="133">
        <f>IF(T60=0,0,IF(G60="M",H60,0))</f>
        <v>0</v>
      </c>
      <c r="AW60" s="133">
        <f>IF(T60=0,0,IF(K60="M",J60,0))</f>
        <v>0</v>
      </c>
      <c r="BA60" s="133"/>
      <c r="BB60" s="133"/>
      <c r="BC60" s="133">
        <f>IF(T60=0,0,IF(G60="K",H60,0))</f>
        <v>0</v>
      </c>
      <c r="BD60" s="133">
        <f>IF(T60=0,0,IF(K60="K",J60,0))</f>
        <v>0</v>
      </c>
      <c r="BE60" s="133"/>
      <c r="BF60" s="133"/>
      <c r="BK60" s="133"/>
      <c r="BL60" s="133"/>
      <c r="BM60" s="133">
        <f>IF(T60=0,0,IF(E60="N",H60,0))</f>
        <v>0</v>
      </c>
      <c r="BN60" s="133">
        <f>IF(T60=0,0,IF(M60="N",J60,0))</f>
        <v>0</v>
      </c>
      <c r="BO60" s="133"/>
      <c r="BP60" s="133"/>
      <c r="BQ60" s="133">
        <f>IF(T60=0,0,IF(E60="N",H60,0))</f>
        <v>0</v>
      </c>
      <c r="BR60" s="133">
        <f>IF(T60=0,0,IF(M60="N",J60,0))</f>
        <v>0</v>
      </c>
      <c r="BS60" s="133"/>
      <c r="BT60" s="133"/>
      <c r="BU60" s="133"/>
      <c r="BV60" s="133"/>
      <c r="BW60" s="133"/>
      <c r="BY60" s="130"/>
      <c r="BZ60" s="130"/>
      <c r="CA60" s="128">
        <v>29</v>
      </c>
      <c r="CB60" s="129">
        <f>IF(SUM(CB$46:CB59)=0,CC60,0)</f>
        <v>0</v>
      </c>
      <c r="CC60" s="129">
        <f>IF(H$5&lt;30,0,IF(G43="G",0,IF(G43="C",0,IF(G43="M",0,IF(G43="K",0,IF(AND(OR($H$11="FULL",$H$11="AUTO"),G43="D"),0,29))))))</f>
        <v>0</v>
      </c>
      <c r="CD60" s="128" t="str">
        <f>IF($H$11="NONE","ENTER CIRCUIT #29 LOAD IDENTIFIER  ( G, C, M, K )","ENTER CIRCUIT #29 LOAD IDENTIFIER  ( G, D, C, M, K )")</f>
        <v>ENTER CIRCUIT #29 LOAD IDENTIFIER  ( G, D, C, M, K )</v>
      </c>
      <c r="CE60" s="129">
        <f>IF(SUM(CE$46:CE59)=0,CF60,0)</f>
        <v>0</v>
      </c>
      <c r="CF60" s="129">
        <f>IF(H$5&lt;30,0,IF(ISBLANK(F43)=TRUE,29,IF(F43=" ",0,IF(F43="H",0,29))))</f>
        <v>0</v>
      </c>
      <c r="CG60" s="128" t="s">
        <v>123</v>
      </c>
      <c r="CH60" s="129">
        <f>IF(SUM(CH$46:CH59)=0,CI60,0)</f>
        <v>0</v>
      </c>
      <c r="CI60" s="132">
        <f>IF($H$5&lt;30,0,IF(ISBLANK($E43)=TRUE,29,IF($E43="N",0,IF($E43=" ",0,29))))</f>
        <v>0</v>
      </c>
      <c r="CJ60" s="128" t="s">
        <v>452</v>
      </c>
      <c r="CK60" s="128"/>
      <c r="CL60" s="128"/>
      <c r="CM60" s="128"/>
      <c r="CN60" s="128"/>
      <c r="CO60" s="128"/>
      <c r="CP60" s="128"/>
      <c r="CQ60" s="32"/>
      <c r="CX60" s="46" t="s">
        <v>175</v>
      </c>
      <c r="CY60" s="155" t="str">
        <f>H13</f>
        <v>Y</v>
      </c>
      <c r="CZ60" s="22"/>
      <c r="DA60" s="31"/>
      <c r="DB60" s="22"/>
      <c r="DC60" s="22">
        <f>IF(AND(DE59&lt;10,DA54&gt;1),DA23,DC59)*DA54</f>
        <v>50</v>
      </c>
      <c r="DD60" s="22" t="str">
        <f>IF(AND(DE59&lt;10,DA54&gt;1),DC23,DD59)</f>
        <v>#6</v>
      </c>
      <c r="DE60" s="22">
        <f>IF(AND(DE59&lt;10,DA54&gt;1),10,DE59)</f>
        <v>5</v>
      </c>
      <c r="DF60" s="22"/>
      <c r="DG60" s="22"/>
      <c r="DH60" s="22"/>
      <c r="DI60" s="22"/>
      <c r="DJ60" s="22"/>
      <c r="DK60" s="22"/>
      <c r="DL60" s="22"/>
      <c r="DN60" s="22"/>
      <c r="DV60" s="58" t="s">
        <v>76</v>
      </c>
      <c r="DW60" s="58">
        <v>5</v>
      </c>
      <c r="DX60" s="58">
        <f t="shared" si="46"/>
        <v>5.0700000000000002E-2</v>
      </c>
      <c r="DY60" s="22"/>
      <c r="DZ60" s="58" t="s">
        <v>76</v>
      </c>
      <c r="EA60" s="58">
        <v>5</v>
      </c>
      <c r="EB60" s="82">
        <v>7.2599999999999998E-2</v>
      </c>
      <c r="EC60" s="82">
        <v>0.1041</v>
      </c>
      <c r="ED60" s="82">
        <v>5.0700000000000002E-2</v>
      </c>
      <c r="EE60" s="82">
        <v>5.8999999999999997E-2</v>
      </c>
      <c r="EF60" s="82">
        <v>6.6000000000000003E-2</v>
      </c>
      <c r="EG60" s="82">
        <v>4.5199999999999997E-2</v>
      </c>
      <c r="EH60" s="82">
        <v>3.9399999999999998E-2</v>
      </c>
      <c r="EJ60" s="51" t="s">
        <v>176</v>
      </c>
      <c r="EK60" s="52">
        <f>CZ54</f>
        <v>5</v>
      </c>
      <c r="EL60" s="22">
        <f>CZ54</f>
        <v>5</v>
      </c>
      <c r="EM60" s="22">
        <f>CZ55</f>
        <v>5</v>
      </c>
      <c r="EN60" s="22">
        <f>CZ54</f>
        <v>5</v>
      </c>
      <c r="EO60" s="22"/>
      <c r="EP60" s="22"/>
      <c r="EQ60" s="22"/>
      <c r="ER60" s="22"/>
      <c r="ES60" s="22"/>
      <c r="ET60" s="22"/>
      <c r="EU60" s="22"/>
      <c r="EV60" s="22"/>
      <c r="FW60" s="367" t="s">
        <v>76</v>
      </c>
      <c r="FX60" s="58">
        <v>5</v>
      </c>
      <c r="FY60" s="58">
        <f t="shared" si="47"/>
        <v>5.0700000000000002E-2</v>
      </c>
      <c r="FZ60" s="22"/>
      <c r="GA60" s="58" t="s">
        <v>76</v>
      </c>
      <c r="GB60" s="58">
        <v>5</v>
      </c>
      <c r="GC60" s="82">
        <v>7.2599999999999998E-2</v>
      </c>
      <c r="GD60" s="82">
        <v>0.1041</v>
      </c>
      <c r="GE60" s="82">
        <v>5.0700000000000002E-2</v>
      </c>
      <c r="GF60" s="82">
        <v>5.8999999999999997E-2</v>
      </c>
      <c r="GG60" s="82">
        <v>6.6000000000000003E-2</v>
      </c>
      <c r="GH60" s="82">
        <v>4.5199999999999997E-2</v>
      </c>
      <c r="GI60" s="82">
        <v>3.9399999999999998E-2</v>
      </c>
      <c r="GK60" s="51" t="s">
        <v>176</v>
      </c>
      <c r="GL60" s="52">
        <f>CZ57</f>
        <v>5</v>
      </c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</row>
    <row r="61" spans="1:208" ht="12" customHeight="1">
      <c r="A61" s="92"/>
      <c r="B61" s="106">
        <v>65</v>
      </c>
      <c r="C61" s="674"/>
      <c r="D61" s="671"/>
      <c r="E61" s="668" t="s">
        <v>12</v>
      </c>
      <c r="F61" s="667" t="s">
        <v>12</v>
      </c>
      <c r="G61" s="670" t="s">
        <v>394</v>
      </c>
      <c r="H61" s="669"/>
      <c r="I61" s="108" t="str">
        <f t="shared" si="28"/>
        <v>L1</v>
      </c>
      <c r="J61" s="669"/>
      <c r="K61" s="670" t="s">
        <v>394</v>
      </c>
      <c r="L61" s="667" t="s">
        <v>12</v>
      </c>
      <c r="M61" s="668" t="s">
        <v>12</v>
      </c>
      <c r="N61" s="671"/>
      <c r="O61" s="672"/>
      <c r="P61" s="106">
        <v>66</v>
      </c>
      <c r="Q61" s="92"/>
      <c r="S61" s="133">
        <f>IF($H$5&gt;64,1,0)</f>
        <v>1</v>
      </c>
      <c r="T61" s="126">
        <f t="shared" si="29"/>
        <v>0</v>
      </c>
      <c r="U61" s="126" t="str">
        <f>IF($H$8=1,"L1","L3")</f>
        <v>L1</v>
      </c>
      <c r="W61" s="133">
        <f>IF(T61=0,0,IF($H$8=1,(H61+J61)," "))</f>
        <v>0</v>
      </c>
      <c r="Y61" s="133">
        <f>IF(T61=0,0,IF($H$8=1," ",(H61+J61)))</f>
        <v>0</v>
      </c>
      <c r="Z61" s="133">
        <f>IF($H$8=1,IF(T61=0,0,IF(G61="G",H61,0))," ")</f>
        <v>0</v>
      </c>
      <c r="AA61" s="133">
        <f>IF($H$8=1,IF(T61=0,0,IF(K61="G",J61,0))," ")</f>
        <v>0</v>
      </c>
      <c r="AD61" s="133" t="str">
        <f>IF($H$8=1," ",IF(T61=0,0,IF(G61="G",H61,0)))</f>
        <v xml:space="preserve"> </v>
      </c>
      <c r="AE61" s="133" t="str">
        <f>IF($H$8=1," ",IF(T61=0,0,IF(K61="G",J61,0)))</f>
        <v xml:space="preserve"> </v>
      </c>
      <c r="AF61" s="126">
        <f>IF($H$8=1,IF(T61=0,0,IF(G61="D",H61,0))," ")</f>
        <v>0</v>
      </c>
      <c r="AG61" s="126">
        <f>IF($H$8=1,IF(T61=0,0,IF(K61="D",J61,0))," ")</f>
        <v>0</v>
      </c>
      <c r="AJ61" s="126" t="str">
        <f>IF($H$8=1," ",IF(T61=0,0,IF(G61="D",H61,0)))</f>
        <v xml:space="preserve"> </v>
      </c>
      <c r="AK61" s="126" t="str">
        <f>IF($H$8=1," ",IF(T61=0,0,IF(K61="D",J61,0)))</f>
        <v xml:space="preserve"> </v>
      </c>
      <c r="AL61" s="126">
        <f>IF($H$8=1,IF(T61=0,0,IF(G61="C",H61,0))," ")</f>
        <v>0</v>
      </c>
      <c r="AM61" s="126">
        <f>IF($H$8=1,IF(T61=0,0,IF(K61="C",J61,0))," ")</f>
        <v>0</v>
      </c>
      <c r="AP61" s="126" t="str">
        <f>IF($H$8=1," ",IF(T61=0,0,IF(G61="C",H61,0)))</f>
        <v xml:space="preserve"> </v>
      </c>
      <c r="AQ61" s="126" t="str">
        <f>IF($H$8=1," ",IF(T61=0,0,IF(K61="C",J61,0)))</f>
        <v xml:space="preserve"> </v>
      </c>
      <c r="AR61" s="133">
        <f t="shared" si="26"/>
        <v>0</v>
      </c>
      <c r="AS61" s="133">
        <f t="shared" si="27"/>
        <v>0</v>
      </c>
      <c r="AT61" s="133">
        <f>IF(T61=0,0,IF($H$8=1,IF(G61="M",H61,0)," "))</f>
        <v>0</v>
      </c>
      <c r="AU61" s="133">
        <f>IF(T61=0,0,IF($H$8=1,IF(K61="M",J61,0)," "))</f>
        <v>0</v>
      </c>
      <c r="AX61" s="133">
        <f>IF(T61=0,0,IF($H$8=1," ",IF(G61="M",H61,0)))</f>
        <v>0</v>
      </c>
      <c r="AY61" s="133">
        <f>IF(T61=0,0,IF($H$8=1," ",IF(K61="M",J61,0)))</f>
        <v>0</v>
      </c>
      <c r="BA61" s="133">
        <f>IF(T61=0,0,IF($H$8=1,IF(G61="K",H61,0)," "))</f>
        <v>0</v>
      </c>
      <c r="BB61" s="133">
        <f>IF(T61=0,0,IF($H$8=1,IF(K61="K",J61,0)," "))</f>
        <v>0</v>
      </c>
      <c r="BC61" s="133"/>
      <c r="BD61" s="133"/>
      <c r="BE61" s="133">
        <f>IF(T61=0,0,IF($H$8=1," ",IF(G61="K",H61,0)))</f>
        <v>0</v>
      </c>
      <c r="BF61" s="133">
        <f>IF(T61=0,0,IF($H$8=1," ",IF(K61="K",J61,0)))</f>
        <v>0</v>
      </c>
      <c r="BG61" s="126"/>
      <c r="BI61" s="133">
        <f>IF(T61=0,0,IF(E61="N",H61,0))</f>
        <v>0</v>
      </c>
      <c r="BJ61" s="133">
        <f>IF(T61=0,0,IF(M61="N",J61,0))</f>
        <v>0</v>
      </c>
      <c r="BK61" s="133">
        <f>IF(T61=0,0,IF(E61="N",H61,0))</f>
        <v>0</v>
      </c>
      <c r="BL61" s="133">
        <f>IF(T61=0,0,IF(M61="N",J61,0))</f>
        <v>0</v>
      </c>
      <c r="BM61" s="133"/>
      <c r="BN61" s="133"/>
      <c r="BO61" s="133"/>
      <c r="BP61" s="133"/>
      <c r="BQ61" s="133"/>
      <c r="BR61" s="133"/>
      <c r="BS61" s="133">
        <f>IF(T61=0,0,IF(E61="N",H61,0))</f>
        <v>0</v>
      </c>
      <c r="BT61" s="133">
        <f>IF(T61=0,0,IF(M61="N",J61,0))</f>
        <v>0</v>
      </c>
      <c r="BU61" s="133"/>
      <c r="BV61" s="133"/>
      <c r="BW61" s="133"/>
      <c r="BY61" s="130"/>
      <c r="BZ61" s="130"/>
      <c r="CA61" s="128">
        <v>31</v>
      </c>
      <c r="CB61" s="129">
        <f>IF(SUM(CB$46:CB60)=0,CC61,0)</f>
        <v>0</v>
      </c>
      <c r="CC61" s="129">
        <f>IF(H$5&lt;32,0,IF(G44="G",0,IF(G44="C",0,IF(G44="M",0,IF(G44="K",0,IF(AND(OR($H$11="FULL",$H$11="AUTO"),G44="D"),0,31))))))</f>
        <v>0</v>
      </c>
      <c r="CD61" s="128" t="str">
        <f>IF($H$11="NONE","ENTER CIRCUIT #31 LOAD IDENTIFIER  ( G, C, M, K )","ENTER CIRCUIT #31 LOAD IDENTIFIER  ( G, D, C, M, K )")</f>
        <v>ENTER CIRCUIT #31 LOAD IDENTIFIER  ( G, D, C, M, K )</v>
      </c>
      <c r="CE61" s="129">
        <f>IF(SUM(CE$46:CE60)=0,CF61,0)</f>
        <v>0</v>
      </c>
      <c r="CF61" s="129">
        <f>IF(H$5&lt;32,0,IF(ISBLANK(F44)=TRUE,31,IF(F44=" ",0,IF(F44="H",0,31))))</f>
        <v>0</v>
      </c>
      <c r="CG61" s="128" t="s">
        <v>124</v>
      </c>
      <c r="CH61" s="129">
        <f>IF(SUM(CH$46:CH60)=0,CI61,0)</f>
        <v>0</v>
      </c>
      <c r="CI61" s="132">
        <f>IF($H$5&lt;32,0,IF(ISBLANK($E44)=TRUE,31,IF($E44="N",0,IF($E44=" ",0,31))))</f>
        <v>0</v>
      </c>
      <c r="CJ61" s="128" t="s">
        <v>453</v>
      </c>
      <c r="CK61" s="128"/>
      <c r="CL61" s="128"/>
      <c r="CM61" s="128"/>
      <c r="CN61" s="128"/>
      <c r="CO61" s="128"/>
      <c r="CP61" s="128"/>
      <c r="CQ61" s="32"/>
      <c r="CX61" s="49" t="s">
        <v>178</v>
      </c>
      <c r="CY61" s="50">
        <f>DW39</f>
        <v>60</v>
      </c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N61" s="22"/>
      <c r="DV61" s="62" t="s">
        <v>80</v>
      </c>
      <c r="DW61" s="62">
        <v>6</v>
      </c>
      <c r="DX61" s="62">
        <f t="shared" si="46"/>
        <v>8.2400000000000001E-2</v>
      </c>
      <c r="DY61" s="22"/>
      <c r="DZ61" s="62" t="s">
        <v>80</v>
      </c>
      <c r="EA61" s="62">
        <v>6</v>
      </c>
      <c r="EB61" s="63">
        <v>9.7299999999999998E-2</v>
      </c>
      <c r="EC61" s="63">
        <v>0.1333</v>
      </c>
      <c r="ED61" s="63">
        <v>8.2400000000000001E-2</v>
      </c>
      <c r="EE61" s="63">
        <v>8.14E-2</v>
      </c>
      <c r="EF61" s="63">
        <v>8.8099999999999998E-2</v>
      </c>
      <c r="EG61" s="63">
        <v>7.2999999999999995E-2</v>
      </c>
      <c r="EH61" s="63">
        <v>5.2999999999999999E-2</v>
      </c>
      <c r="EJ61" s="58" t="s">
        <v>68</v>
      </c>
      <c r="EK61" s="58" t="s">
        <v>68</v>
      </c>
      <c r="EL61" s="58" t="str">
        <f>IF($EK$55="AL",EN61,IF($EK$55="CU",EM61,"ERR"))</f>
        <v>RES</v>
      </c>
      <c r="EM61" s="58" t="s">
        <v>179</v>
      </c>
      <c r="EN61" s="58" t="s">
        <v>179</v>
      </c>
      <c r="EO61" s="22"/>
      <c r="EP61" s="22"/>
      <c r="EQ61" s="157" t="s">
        <v>251</v>
      </c>
      <c r="ER61" s="158"/>
      <c r="ES61" s="159"/>
      <c r="ET61" s="159"/>
      <c r="EU61" s="159"/>
      <c r="EV61" s="159"/>
      <c r="EW61" s="159"/>
      <c r="EX61" s="159"/>
      <c r="FW61" s="368" t="s">
        <v>80</v>
      </c>
      <c r="FX61" s="62">
        <v>6</v>
      </c>
      <c r="FY61" s="62">
        <f t="shared" si="47"/>
        <v>8.2400000000000001E-2</v>
      </c>
      <c r="FZ61" s="22"/>
      <c r="GA61" s="62" t="s">
        <v>80</v>
      </c>
      <c r="GB61" s="62">
        <v>6</v>
      </c>
      <c r="GC61" s="63">
        <v>9.7299999999999998E-2</v>
      </c>
      <c r="GD61" s="63">
        <v>0.1333</v>
      </c>
      <c r="GE61" s="63">
        <v>8.2400000000000001E-2</v>
      </c>
      <c r="GF61" s="63">
        <v>8.14E-2</v>
      </c>
      <c r="GG61" s="63">
        <v>8.8099999999999998E-2</v>
      </c>
      <c r="GH61" s="63">
        <v>7.2999999999999995E-2</v>
      </c>
      <c r="GI61" s="63">
        <v>5.2999999999999999E-2</v>
      </c>
      <c r="GK61" s="58" t="s">
        <v>68</v>
      </c>
      <c r="GL61" s="58" t="s">
        <v>68</v>
      </c>
      <c r="GM61" s="58" t="str">
        <f>IF($EK$55="AL",GO61,IF($EK$55="CU",GN61,"ERR"))</f>
        <v>RES</v>
      </c>
      <c r="GN61" s="58" t="s">
        <v>179</v>
      </c>
      <c r="GO61" s="58" t="s">
        <v>179</v>
      </c>
      <c r="GP61" s="22"/>
      <c r="GQ61" s="22"/>
      <c r="GR61" s="157" t="s">
        <v>756</v>
      </c>
      <c r="GS61" s="158"/>
      <c r="GT61" s="159"/>
      <c r="GU61" s="159"/>
      <c r="GV61" s="159"/>
      <c r="GW61" s="159"/>
      <c r="GX61" s="159"/>
      <c r="GY61" s="159"/>
    </row>
    <row r="62" spans="1:208" ht="12" customHeight="1">
      <c r="A62" s="92"/>
      <c r="B62" s="106">
        <v>67</v>
      </c>
      <c r="C62" s="674"/>
      <c r="D62" s="671"/>
      <c r="E62" s="668" t="s">
        <v>12</v>
      </c>
      <c r="F62" s="667" t="s">
        <v>12</v>
      </c>
      <c r="G62" s="670" t="s">
        <v>394</v>
      </c>
      <c r="H62" s="669"/>
      <c r="I62" s="108" t="str">
        <f t="shared" si="28"/>
        <v>L2</v>
      </c>
      <c r="J62" s="669"/>
      <c r="K62" s="670" t="s">
        <v>394</v>
      </c>
      <c r="L62" s="667" t="s">
        <v>12</v>
      </c>
      <c r="M62" s="668" t="s">
        <v>12</v>
      </c>
      <c r="N62" s="671"/>
      <c r="O62" s="672"/>
      <c r="P62" s="106">
        <v>68</v>
      </c>
      <c r="Q62" s="92"/>
      <c r="S62" s="133">
        <f>IF($H$5&gt;66,1,0)</f>
        <v>1</v>
      </c>
      <c r="T62" s="126">
        <f t="shared" si="29"/>
        <v>0</v>
      </c>
      <c r="U62" s="126" t="str">
        <f>IF($H$8=1,"L2","L1")</f>
        <v>L2</v>
      </c>
      <c r="W62" s="133">
        <f>IF(T62=0,0,IF($H$8=1," ",(H62+J62)))</f>
        <v>0</v>
      </c>
      <c r="X62" s="133">
        <f>IF(T62=0,0,IF($H$8=1,(H62+J62)," "))</f>
        <v>0</v>
      </c>
      <c r="Z62" s="133" t="str">
        <f>IF($H$8=1," ",IF(T62=0,0,IF(G62="G",H62,0)))</f>
        <v xml:space="preserve"> </v>
      </c>
      <c r="AA62" s="133" t="str">
        <f>IF($H$8=1," ",IF(T62=0,0,IF(K62="G",J62,0)))</f>
        <v xml:space="preserve"> </v>
      </c>
      <c r="AB62" s="133">
        <f>IF($H$8=1,IF(T62=0,0,IF(G62="G",H62,0))," ")</f>
        <v>0</v>
      </c>
      <c r="AC62" s="133">
        <f>IF($H$8=1,IF(T62=0,0,IF(K62="G",J62,0))," ")</f>
        <v>0</v>
      </c>
      <c r="AF62" s="126" t="str">
        <f>IF($H$8=1," ",IF(T62=0,0,IF(G62="D",H62,0)))</f>
        <v xml:space="preserve"> </v>
      </c>
      <c r="AG62" s="126" t="str">
        <f>IF($H$8=1," ",IF(T62=0,0,IF(K62="D",J62,0)))</f>
        <v xml:space="preserve"> </v>
      </c>
      <c r="AH62" s="126">
        <f>IF($H$8=1,IF(T62=0,0,IF(G62="D",H62,0))," ")</f>
        <v>0</v>
      </c>
      <c r="AI62" s="126">
        <f>IF($H$8=1,IF(T62=0,0,IF(K62="D",J62,0))," ")</f>
        <v>0</v>
      </c>
      <c r="AL62" s="126" t="str">
        <f>IF($H$8=1," ",IF(T62=0,0,IF(G62="C",H62,0)))</f>
        <v xml:space="preserve"> </v>
      </c>
      <c r="AM62" s="126" t="str">
        <f>IF($H$8=1," ",IF(T62=0,0,IF(K62="C",J62,0)))</f>
        <v xml:space="preserve"> </v>
      </c>
      <c r="AN62" s="126">
        <f>IF($H$8=1,IF(T62=0,0,IF(G62="C",H62,0))," ")</f>
        <v>0</v>
      </c>
      <c r="AO62" s="126">
        <f>IF($H$8=1,IF(T62=0,0,IF(K62="C",J62,0))," ")</f>
        <v>0</v>
      </c>
      <c r="AR62" s="133">
        <f t="shared" si="26"/>
        <v>0</v>
      </c>
      <c r="AS62" s="133">
        <f t="shared" si="27"/>
        <v>0</v>
      </c>
      <c r="AT62" s="133">
        <f>IF(T62=0,0,IF($H$8=1," ",IF(G62="M",H62,0)))</f>
        <v>0</v>
      </c>
      <c r="AU62" s="133">
        <f>IF(T62=0,0,IF($H$8=1," ",IF(K62="M",J62,0)))</f>
        <v>0</v>
      </c>
      <c r="AV62" s="133">
        <f>IF(T62=0,0,IF($H$8=1,IF(G62="M",H62,0)," "))</f>
        <v>0</v>
      </c>
      <c r="AW62" s="133">
        <f>IF(T62=0,0,IF($H$8=1,IF(K62="M",J62,0)," "))</f>
        <v>0</v>
      </c>
      <c r="BA62" s="133">
        <f>IF(T62=0,0,IF($H$8=1," ",IF(G62="K",H62,0)))</f>
        <v>0</v>
      </c>
      <c r="BB62" s="133">
        <f>IF(T62=0,0,IF($H$8=1," ",IF(K62="K",J62,0)))</f>
        <v>0</v>
      </c>
      <c r="BC62" s="133">
        <f>IF(T62=0,0,IF($H$8=1,IF(G62="K",H62,0)," "))</f>
        <v>0</v>
      </c>
      <c r="BD62" s="133">
        <f>IF(T62=0,0,IF($H$8=1,IF(K62="K",J62,0)," "))</f>
        <v>0</v>
      </c>
      <c r="BE62" s="133"/>
      <c r="BF62" s="133"/>
      <c r="BG62" s="126">
        <f>IF(T62=0,0,IF(E62="N",H62,0))</f>
        <v>0</v>
      </c>
      <c r="BH62" s="133">
        <f>IF(T62=0,0,IF(M62="N",J62,0))</f>
        <v>0</v>
      </c>
      <c r="BK62" s="133"/>
      <c r="BL62" s="133"/>
      <c r="BM62" s="133">
        <f>IF(T62=0,0,IF(E62="N",H62,0))</f>
        <v>0</v>
      </c>
      <c r="BN62" s="133">
        <f>IF(T62=0,0,IF(M62="N",J62,0))</f>
        <v>0</v>
      </c>
      <c r="BO62" s="133">
        <f>IF(T62=0,0,IF(E62="N",H62,0))</f>
        <v>0</v>
      </c>
      <c r="BP62" s="133">
        <f>IF(T62=0,0,IF(M62="N",J62,0))</f>
        <v>0</v>
      </c>
      <c r="BQ62" s="133"/>
      <c r="BR62" s="133"/>
      <c r="BS62" s="133"/>
      <c r="BT62" s="133"/>
      <c r="BU62" s="133"/>
      <c r="BV62" s="133"/>
      <c r="BW62" s="133"/>
      <c r="BY62" s="130"/>
      <c r="BZ62" s="136"/>
      <c r="CA62" s="128">
        <v>33</v>
      </c>
      <c r="CB62" s="129">
        <f>IF(SUM(CB$46:CB61)=0,CC62,0)</f>
        <v>0</v>
      </c>
      <c r="CC62" s="129">
        <f>IF(H$5&lt;34,0,IF(G45="G",0,IF(G45="C",0,IF(G45="M",0,IF(G45="K",0,IF(AND(OR($H$11="FULL",$H$11="AUTO"),OR($H$8=1,$H$8="3Y"),G45="D"),0,33))))))</f>
        <v>0</v>
      </c>
      <c r="CD62" s="128" t="str">
        <f>IF($H$11="NONE","ENTER CIRCUIT #33 LOAD IDENTIFIER  ( G, C, M, K )",IF($H$8="3D","ENTER CIRCUIT #33 LOAD IDENTIFIER  ( G, C, M, K )","ENTER CIRCUIT #33 LOAD IDENTIFIER  ( G, D, C, M, K )"))</f>
        <v>ENTER CIRCUIT #33 LOAD IDENTIFIER  ( G, D, C, M, K )</v>
      </c>
      <c r="CE62" s="129">
        <f>IF(SUM(CE$46:CE61)=0,CF62,0)</f>
        <v>0</v>
      </c>
      <c r="CF62" s="129">
        <f>IF(H$5&lt;34,0,IF(ISBLANK(F45)=TRUE,33,IF(F45=" ",0,IF(F45="H",0,33))))</f>
        <v>0</v>
      </c>
      <c r="CG62" s="128" t="s">
        <v>127</v>
      </c>
      <c r="CH62" s="129">
        <f>IF(SUM(CH$46:CH61)=0,CI62,0)</f>
        <v>0</v>
      </c>
      <c r="CI62" s="132">
        <f>IF($H$5&lt;34,0,IF(ISBLANK($E45)=TRUE,33,IF($E45=" ",0,IF(AND($H$8&lt;&gt;"3D",$E45="N"),0,33))))</f>
        <v>0</v>
      </c>
      <c r="CJ62" s="128" t="str">
        <f>IF($H$8&lt;&gt;"3D","ENTER CIRCUIT #33 NEUTRAL IDENTIFIER  ( N or SPACE )","ENTER CIRCUIT #33 NEUTRAL IDENTIFIER  ( SPACE )")</f>
        <v>ENTER CIRCUIT #33 NEUTRAL IDENTIFIER  ( N or SPACE )</v>
      </c>
      <c r="CK62" s="128"/>
      <c r="CL62" s="128"/>
      <c r="CM62" s="128"/>
      <c r="CN62" s="128"/>
      <c r="CO62" s="128"/>
      <c r="CP62" s="128"/>
      <c r="CQ62" s="32"/>
      <c r="CX62" s="61" t="s">
        <v>181</v>
      </c>
      <c r="CY62" s="188" t="str">
        <f>CY6</f>
        <v>AL</v>
      </c>
      <c r="CZ62" s="22"/>
      <c r="DA62" s="31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N62" s="22"/>
      <c r="DV62" s="62" t="s">
        <v>84</v>
      </c>
      <c r="DW62" s="62">
        <v>7</v>
      </c>
      <c r="DX62" s="62">
        <f t="shared" si="46"/>
        <v>9.7299999999999998E-2</v>
      </c>
      <c r="DY62" s="22"/>
      <c r="DZ62" s="62" t="s">
        <v>84</v>
      </c>
      <c r="EA62" s="62">
        <v>7</v>
      </c>
      <c r="EB62" s="63">
        <v>0.1134</v>
      </c>
      <c r="EC62" s="63">
        <v>0.15210000000000001</v>
      </c>
      <c r="ED62" s="63">
        <v>9.7299999999999998E-2</v>
      </c>
      <c r="EE62" s="63">
        <v>9.6199999999999994E-2</v>
      </c>
      <c r="EF62" s="63"/>
      <c r="EG62" s="63"/>
      <c r="EH62" s="63"/>
      <c r="EJ62" s="62" t="s">
        <v>38</v>
      </c>
      <c r="EK62" s="62" t="s">
        <v>38</v>
      </c>
      <c r="EL62" s="62" t="str">
        <f t="shared" ref="EL62:EL77" si="48">IF($EK$55="AL",EN62,IF($EK$55="CU",EM62,"ERR"))</f>
        <v>NEC</v>
      </c>
      <c r="EM62" s="62" t="s">
        <v>182</v>
      </c>
      <c r="EN62" s="62" t="s">
        <v>182</v>
      </c>
      <c r="EO62" s="22"/>
      <c r="EP62" s="22"/>
      <c r="EQ62" s="158"/>
      <c r="ER62" s="158"/>
      <c r="ES62" s="158"/>
      <c r="ET62" s="159"/>
      <c r="EU62" s="159"/>
      <c r="EV62" s="159"/>
      <c r="EW62" s="159"/>
      <c r="EX62" s="159"/>
      <c r="FW62" s="368" t="s">
        <v>84</v>
      </c>
      <c r="FX62" s="62">
        <v>7</v>
      </c>
      <c r="FY62" s="62">
        <f t="shared" si="47"/>
        <v>9.7299999999999998E-2</v>
      </c>
      <c r="FZ62" s="22"/>
      <c r="GA62" s="62" t="s">
        <v>84</v>
      </c>
      <c r="GB62" s="62">
        <v>7</v>
      </c>
      <c r="GC62" s="63">
        <v>0.1134</v>
      </c>
      <c r="GD62" s="63">
        <v>0.15210000000000001</v>
      </c>
      <c r="GE62" s="63">
        <v>9.7299999999999998E-2</v>
      </c>
      <c r="GF62" s="63">
        <v>9.6199999999999994E-2</v>
      </c>
      <c r="GG62" s="63"/>
      <c r="GH62" s="63"/>
      <c r="GI62" s="63"/>
      <c r="GK62" s="62" t="s">
        <v>38</v>
      </c>
      <c r="GL62" s="62" t="s">
        <v>38</v>
      </c>
      <c r="GM62" s="62" t="str">
        <f>IF($EK$55="AL",GO62,IF($EK$55="CU",GN62,"ERR"))</f>
        <v>NEC</v>
      </c>
      <c r="GN62" s="62" t="s">
        <v>182</v>
      </c>
      <c r="GO62" s="62" t="s">
        <v>182</v>
      </c>
      <c r="GP62" s="22"/>
      <c r="GQ62" s="22"/>
      <c r="GR62" s="158"/>
      <c r="GS62" s="158"/>
      <c r="GT62" s="158"/>
      <c r="GU62" s="159"/>
      <c r="GV62" s="159"/>
      <c r="GW62" s="159"/>
      <c r="GX62" s="159"/>
      <c r="GY62" s="159"/>
    </row>
    <row r="63" spans="1:208" ht="12" customHeight="1">
      <c r="A63" s="92"/>
      <c r="B63" s="106">
        <v>69</v>
      </c>
      <c r="C63" s="674"/>
      <c r="D63" s="671"/>
      <c r="E63" s="668" t="s">
        <v>12</v>
      </c>
      <c r="F63" s="667" t="s">
        <v>12</v>
      </c>
      <c r="G63" s="670" t="s">
        <v>394</v>
      </c>
      <c r="H63" s="669"/>
      <c r="I63" s="108" t="str">
        <f t="shared" si="28"/>
        <v>L1</v>
      </c>
      <c r="J63" s="669"/>
      <c r="K63" s="670" t="s">
        <v>394</v>
      </c>
      <c r="L63" s="667" t="s">
        <v>12</v>
      </c>
      <c r="M63" s="668" t="s">
        <v>12</v>
      </c>
      <c r="N63" s="671"/>
      <c r="O63" s="672"/>
      <c r="P63" s="106">
        <v>70</v>
      </c>
      <c r="Q63" s="92"/>
      <c r="S63" s="133">
        <f>IF($H$5&gt;68,1,0)</f>
        <v>1</v>
      </c>
      <c r="T63" s="126">
        <f t="shared" si="29"/>
        <v>0</v>
      </c>
      <c r="U63" s="126" t="str">
        <f>IF($H$8=1,"L1","L2")</f>
        <v>L1</v>
      </c>
      <c r="W63" s="133">
        <f>IF(T63=0,0,IF($H$8=1,(H63+J63)," "))</f>
        <v>0</v>
      </c>
      <c r="X63" s="133">
        <f>IF(T63=0,0,IF($H$8=1," ",(H63+J63)))</f>
        <v>0</v>
      </c>
      <c r="Z63" s="133">
        <f>IF($H$8=1,IF(T63=0,0,IF(G63="G",H63,0))," ")</f>
        <v>0</v>
      </c>
      <c r="AA63" s="133">
        <f>IF($H$8=1,IF(T63=0,0,IF(K63="G",J63,0))," ")</f>
        <v>0</v>
      </c>
      <c r="AB63" s="133" t="str">
        <f>IF($H$8=1," ",IF(T63=0,0,IF(G63="G",H63,0)))</f>
        <v xml:space="preserve"> </v>
      </c>
      <c r="AC63" s="133" t="str">
        <f>IF($H$8=1," ",IF(T63=0,0,IF(K63="G",J63,0)))</f>
        <v xml:space="preserve"> </v>
      </c>
      <c r="AF63" s="126">
        <f>IF($H$8=1,IF(T63=0,0,IF(G63="D",H63,0))," ")</f>
        <v>0</v>
      </c>
      <c r="AG63" s="126">
        <f>IF($H$8=1,IF(T63=0,0,IF(K63="D",J63,0))," ")</f>
        <v>0</v>
      </c>
      <c r="AH63" s="126" t="str">
        <f>IF($H$8=1," ",IF(T63=0,0,IF(G63="D",H63,0)))</f>
        <v xml:space="preserve"> </v>
      </c>
      <c r="AI63" s="126" t="str">
        <f>IF($H$8=1," ",IF(T63=0,0,IF(K63="D",J63,0)))</f>
        <v xml:space="preserve"> </v>
      </c>
      <c r="AL63" s="126">
        <f>IF($H$8=1,IF(T63=0,0,IF(G63="C",H63,0))," ")</f>
        <v>0</v>
      </c>
      <c r="AM63" s="126">
        <f>IF($H$8=1,IF(T63=0,0,IF(K63="C",J63,0))," ")</f>
        <v>0</v>
      </c>
      <c r="AN63" s="126" t="str">
        <f>IF($H$8=1," ",IF(T63=0,0,IF(G63="C",H63,0)))</f>
        <v xml:space="preserve"> </v>
      </c>
      <c r="AO63" s="126" t="str">
        <f>IF($H$8=1," ",IF(T63=0,0,IF(K63="C",J63,0)))</f>
        <v xml:space="preserve"> </v>
      </c>
      <c r="AR63" s="133">
        <f t="shared" si="26"/>
        <v>0</v>
      </c>
      <c r="AS63" s="133">
        <f t="shared" si="27"/>
        <v>0</v>
      </c>
      <c r="AT63" s="133">
        <f>IF(T63=0,0,IF($H$8=1,IF(G63="M",H63,0)," "))</f>
        <v>0</v>
      </c>
      <c r="AU63" s="133">
        <f>IF(T63=0,0,IF($H$8=1,IF(K63="M",J63,0)," "))</f>
        <v>0</v>
      </c>
      <c r="AV63" s="133">
        <f>IF(T63=0,0,IF($H$8=1," ",IF(G63="M",H63,0)))</f>
        <v>0</v>
      </c>
      <c r="AW63" s="133">
        <f>IF(T63=0,0,IF($H$8=1," ",IF(K63="M",J63,0)))</f>
        <v>0</v>
      </c>
      <c r="BA63" s="133">
        <f>IF(T63=0,0,IF($H$8=1,IF(G63="K",H63,0)," "))</f>
        <v>0</v>
      </c>
      <c r="BB63" s="133">
        <f>IF(T63=0,0,IF($H$8=1,IF(K63="K",J63,0)," "))</f>
        <v>0</v>
      </c>
      <c r="BC63" s="133">
        <f>IF(T63=0,0,IF($H$8=1," ",IF(G63="K",H63,0)))</f>
        <v>0</v>
      </c>
      <c r="BD63" s="133">
        <f>IF(T63=0,0,IF($H$8=1," ",IF(K63="K",J63,0)))</f>
        <v>0</v>
      </c>
      <c r="BE63" s="133"/>
      <c r="BF63" s="133"/>
      <c r="BK63" s="133">
        <f>IF(T63=0,0,IF(E63="N",H63,0))</f>
        <v>0</v>
      </c>
      <c r="BL63" s="133">
        <f>IF(T63=0,0,IF(M63="N",J63,0))</f>
        <v>0</v>
      </c>
      <c r="BM63" s="133"/>
      <c r="BN63" s="133"/>
      <c r="BO63" s="133"/>
      <c r="BP63" s="133"/>
      <c r="BQ63" s="133">
        <f>IF(T63=0,0,IF(E63="N",H63,0))</f>
        <v>0</v>
      </c>
      <c r="BR63" s="133">
        <f>IF(T63=0,0,IF(M63="N",J63,0))</f>
        <v>0</v>
      </c>
      <c r="BS63" s="133"/>
      <c r="BT63" s="133"/>
      <c r="BU63" s="133"/>
      <c r="BV63" s="133"/>
      <c r="BW63" s="133"/>
      <c r="BY63" s="130"/>
      <c r="BZ63" s="136"/>
      <c r="CA63" s="128">
        <v>35</v>
      </c>
      <c r="CB63" s="129">
        <f>IF(SUM(CB$46:CB62)=0,CC63,0)</f>
        <v>0</v>
      </c>
      <c r="CC63" s="129">
        <f>IF(H$5&lt;36,0,IF(G46="G",0,IF(G46="C",0,IF(G46="M",0,IF(G46="K",0,IF(AND(OR($H$11="FULL",$H$11="AUTO"),G46="D"),0,35))))))</f>
        <v>0</v>
      </c>
      <c r="CD63" s="128" t="str">
        <f>IF($H$11="NONE","ENTER CIRCUIT #35 LOAD IDENTIFIER  ( G, C, M, K )","ENTER CIRCUIT #35 LOAD IDENTIFIER  ( G, D, C, M, K )")</f>
        <v>ENTER CIRCUIT #35 LOAD IDENTIFIER  ( G, D, C, M, K )</v>
      </c>
      <c r="CE63" s="129">
        <f>IF(SUM(CE$46:CE62)=0,CF63,0)</f>
        <v>0</v>
      </c>
      <c r="CF63" s="129">
        <f>IF(H$5&lt;36,0,IF(ISBLANK(F46)=TRUE,35,IF(F46=" ",0,IF(F46="H",0,35))))</f>
        <v>0</v>
      </c>
      <c r="CG63" s="128" t="s">
        <v>129</v>
      </c>
      <c r="CH63" s="129">
        <f>IF(SUM(CH$46:CH62)=0,CI63,0)</f>
        <v>0</v>
      </c>
      <c r="CI63" s="132">
        <f>IF($H$5&lt;36,0,IF(ISBLANK($E46)=TRUE,35,IF($E46="N",0,IF($E46=" ",0,35))))</f>
        <v>0</v>
      </c>
      <c r="CJ63" s="128" t="s">
        <v>454</v>
      </c>
      <c r="CK63" s="128"/>
      <c r="CL63" s="128"/>
      <c r="CM63" s="128"/>
      <c r="CN63" s="128"/>
      <c r="CO63" s="128"/>
      <c r="CP63" s="128"/>
      <c r="CQ63" s="32"/>
      <c r="CX63" s="29" t="s">
        <v>184</v>
      </c>
      <c r="CY63" s="27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N63" s="22"/>
      <c r="DV63" s="62" t="s">
        <v>83</v>
      </c>
      <c r="DW63" s="62">
        <v>8</v>
      </c>
      <c r="DX63" s="62">
        <f t="shared" si="46"/>
        <v>0.1158</v>
      </c>
      <c r="DY63" s="22"/>
      <c r="DZ63" s="62" t="s">
        <v>83</v>
      </c>
      <c r="EA63" s="62">
        <v>8</v>
      </c>
      <c r="EB63" s="63">
        <v>0.1333</v>
      </c>
      <c r="EC63" s="63">
        <v>0.17499999999999999</v>
      </c>
      <c r="ED63" s="63">
        <v>0.1158</v>
      </c>
      <c r="EE63" s="63">
        <v>0.11459999999999999</v>
      </c>
      <c r="EF63" s="63">
        <v>0.11940000000000001</v>
      </c>
      <c r="EG63" s="63">
        <v>0.1017</v>
      </c>
      <c r="EH63" s="63">
        <v>7.2999999999999995E-2</v>
      </c>
      <c r="EJ63" s="62" t="s">
        <v>74</v>
      </c>
      <c r="EK63" s="62" t="s">
        <v>7</v>
      </c>
      <c r="EL63" s="62" t="str">
        <f t="shared" si="48"/>
        <v>AL</v>
      </c>
      <c r="EM63" s="62" t="s">
        <v>60</v>
      </c>
      <c r="EN63" s="62" t="s">
        <v>77</v>
      </c>
      <c r="EO63" s="22"/>
      <c r="EP63" s="22"/>
      <c r="EQ63" s="160">
        <v>1</v>
      </c>
      <c r="ER63" s="161">
        <v>1</v>
      </c>
      <c r="ES63" s="162" t="s">
        <v>134</v>
      </c>
      <c r="ET63" s="163">
        <f>$EK$79</f>
        <v>0.80800000000000005</v>
      </c>
      <c r="EU63" s="161" t="s">
        <v>135</v>
      </c>
      <c r="EV63" s="161">
        <f>IF($EK$59&gt;1,ER63/ET63,0)</f>
        <v>0</v>
      </c>
      <c r="EW63" s="161"/>
      <c r="EX63" s="164"/>
      <c r="FW63" s="368" t="s">
        <v>83</v>
      </c>
      <c r="FX63" s="62">
        <v>8</v>
      </c>
      <c r="FY63" s="62">
        <f t="shared" si="47"/>
        <v>0.1158</v>
      </c>
      <c r="FZ63" s="22"/>
      <c r="GA63" s="62" t="s">
        <v>83</v>
      </c>
      <c r="GB63" s="62">
        <v>8</v>
      </c>
      <c r="GC63" s="63">
        <v>0.1333</v>
      </c>
      <c r="GD63" s="63">
        <v>0.17499999999999999</v>
      </c>
      <c r="GE63" s="63">
        <v>0.1158</v>
      </c>
      <c r="GF63" s="63">
        <v>0.11459999999999999</v>
      </c>
      <c r="GG63" s="63">
        <v>0.11940000000000001</v>
      </c>
      <c r="GH63" s="63">
        <v>0.1017</v>
      </c>
      <c r="GI63" s="63">
        <v>7.2999999999999995E-2</v>
      </c>
      <c r="GK63" s="62" t="s">
        <v>74</v>
      </c>
      <c r="GL63" s="62" t="s">
        <v>7</v>
      </c>
      <c r="GM63" s="62" t="str">
        <f>IF($EK$55="AL",GO63,IF($EK$55="CU",GN63,"ERR"))</f>
        <v>AL</v>
      </c>
      <c r="GN63" s="62" t="s">
        <v>60</v>
      </c>
      <c r="GO63" s="62" t="s">
        <v>77</v>
      </c>
      <c r="GP63" s="22"/>
      <c r="GQ63" s="22"/>
      <c r="GR63" s="160">
        <v>1</v>
      </c>
      <c r="GS63" s="161">
        <v>1</v>
      </c>
      <c r="GT63" s="162" t="s">
        <v>134</v>
      </c>
      <c r="GU63" s="163">
        <f t="shared" ref="GU63:GU68" si="49">GL$79</f>
        <v>0.80800000000000005</v>
      </c>
      <c r="GV63" s="161" t="s">
        <v>135</v>
      </c>
      <c r="GW63" s="161">
        <f>IF($GL$59&gt;1,GS63/GU63,0)</f>
        <v>0</v>
      </c>
      <c r="GX63" s="161"/>
      <c r="GY63" s="164"/>
    </row>
    <row r="64" spans="1:208" ht="12" customHeight="1">
      <c r="A64" s="92"/>
      <c r="B64" s="106">
        <v>71</v>
      </c>
      <c r="C64" s="674"/>
      <c r="D64" s="671"/>
      <c r="E64" s="668" t="s">
        <v>12</v>
      </c>
      <c r="F64" s="667" t="s">
        <v>12</v>
      </c>
      <c r="G64" s="670" t="s">
        <v>394</v>
      </c>
      <c r="H64" s="669"/>
      <c r="I64" s="108" t="str">
        <f t="shared" si="28"/>
        <v>L2</v>
      </c>
      <c r="J64" s="669"/>
      <c r="K64" s="670" t="s">
        <v>394</v>
      </c>
      <c r="L64" s="667" t="s">
        <v>12</v>
      </c>
      <c r="M64" s="668" t="s">
        <v>12</v>
      </c>
      <c r="N64" s="671"/>
      <c r="O64" s="672"/>
      <c r="P64" s="106">
        <v>72</v>
      </c>
      <c r="Q64" s="92"/>
      <c r="S64" s="133">
        <f>IF($H$5&gt;70,1,0)</f>
        <v>1</v>
      </c>
      <c r="T64" s="126">
        <f t="shared" si="29"/>
        <v>0</v>
      </c>
      <c r="U64" s="126" t="str">
        <f>IF($H$8=1,"L2","L3")</f>
        <v>L2</v>
      </c>
      <c r="X64" s="133">
        <f>IF(T64=0,0,IF($H$8=1,(H64+J64)," "))</f>
        <v>0</v>
      </c>
      <c r="Y64" s="133">
        <f>IF(T64=0,0,IF($H$8=1," ",(H64+J64)))</f>
        <v>0</v>
      </c>
      <c r="AB64" s="133">
        <f>IF($H$8=1,IF(T64=0,0,IF(G64="G",H64,0))," ")</f>
        <v>0</v>
      </c>
      <c r="AC64" s="133">
        <f>IF($H$8=1,IF(T64=0,0,IF(K64="G",J64,0))," ")</f>
        <v>0</v>
      </c>
      <c r="AD64" s="133" t="str">
        <f>IF($H$8=1," ",IF(T64=0,0,IF(G64="G",H64,0)))</f>
        <v xml:space="preserve"> </v>
      </c>
      <c r="AE64" s="133" t="str">
        <f>IF($H$8=1," ",IF(T64=0,0,IF(K64="G",J64,0)))</f>
        <v xml:space="preserve"> </v>
      </c>
      <c r="AH64" s="126">
        <f>IF($H$8=1,IF(T64=0,0,IF(G64="D",H64,0))," ")</f>
        <v>0</v>
      </c>
      <c r="AI64" s="126">
        <f>IF($H$8=1,IF(T64=0,0,IF(K64="D",J64,0))," ")</f>
        <v>0</v>
      </c>
      <c r="AJ64" s="126" t="str">
        <f>IF($H$8=1," ",IF(T64=0,0,IF(G64="D",H64,0)))</f>
        <v xml:space="preserve"> </v>
      </c>
      <c r="AK64" s="126" t="str">
        <f>IF($H$8=1," ",IF(T64=0,0,IF(K64="D",J64,0)))</f>
        <v xml:space="preserve"> </v>
      </c>
      <c r="AN64" s="126">
        <f>IF($H$8=1,IF(T64=0,0,IF(G64="C",H64,0))," ")</f>
        <v>0</v>
      </c>
      <c r="AO64" s="126">
        <f>IF($H$8=1,IF(T64=0,0,IF(K64="C",J64,0))," ")</f>
        <v>0</v>
      </c>
      <c r="AP64" s="126" t="str">
        <f>IF($H$8=1," ",IF(T64=0,0,IF(G64="C",H64,0)))</f>
        <v xml:space="preserve"> </v>
      </c>
      <c r="AQ64" s="126" t="str">
        <f>IF($H$8=1," ",IF(T64=0,0,IF(K64="C",J64,0)))</f>
        <v xml:space="preserve"> </v>
      </c>
      <c r="AR64" s="133">
        <f t="shared" si="26"/>
        <v>0</v>
      </c>
      <c r="AS64" s="133">
        <f t="shared" si="27"/>
        <v>0</v>
      </c>
      <c r="AV64" s="133">
        <f>IF(T64=0,0,IF($H$8=1,IF(G64="M",H64,0)," "))</f>
        <v>0</v>
      </c>
      <c r="AW64" s="133">
        <f>IF(T64=0,0,IF($H$8=1,IF(K64="M",J64,0)," "))</f>
        <v>0</v>
      </c>
      <c r="AX64" s="133">
        <f>IF(T64=0,0,IF($H$8=1," ",IF(G64="M",H64,0)))</f>
        <v>0</v>
      </c>
      <c r="AY64" s="133">
        <f>IF(T64=0,0,IF($H$8=1," ",IF(K64="M",J64,0)))</f>
        <v>0</v>
      </c>
      <c r="BA64" s="133"/>
      <c r="BB64" s="133"/>
      <c r="BC64" s="133">
        <f>IF(T64=0,0,IF($H$8=1,IF(G64="K",H64,0)," "))</f>
        <v>0</v>
      </c>
      <c r="BD64" s="133">
        <f>IF(T64=0,0,IF($H$8=1,IF(K64="K",J64,0)," "))</f>
        <v>0</v>
      </c>
      <c r="BE64" s="133">
        <f>IF(T64=0,0,IF($H$8=1," ",IF(G64="K",H64,0)))</f>
        <v>0</v>
      </c>
      <c r="BF64" s="133">
        <f>IF(T64=0,0,IF($H$8=1," ",IF(K64="K",J64,0)))</f>
        <v>0</v>
      </c>
      <c r="BG64" s="126"/>
      <c r="BI64" s="133">
        <f>IF(T64=0,0,IF(E64="N",H64,0))</f>
        <v>0</v>
      </c>
      <c r="BJ64" s="133">
        <f>IF(T64=0,0,IF(M64="N",J64,0))</f>
        <v>0</v>
      </c>
      <c r="BK64" s="133"/>
      <c r="BL64" s="133"/>
      <c r="BM64" s="133">
        <f>IF(T64=0,0,IF(E64="N",H64,0))</f>
        <v>0</v>
      </c>
      <c r="BN64" s="133">
        <f>IF(T64=0,0,IF(M64="N",J64,0))</f>
        <v>0</v>
      </c>
      <c r="BO64" s="133"/>
      <c r="BP64" s="133"/>
      <c r="BQ64" s="133"/>
      <c r="BR64" s="133"/>
      <c r="BS64" s="133">
        <f>IF(T64=0,0,IF(E64="N",H64,0))</f>
        <v>0</v>
      </c>
      <c r="BT64" s="133">
        <f>IF(T64=0,0,IF(M64="N",J64,0))</f>
        <v>0</v>
      </c>
      <c r="BU64" s="133"/>
      <c r="BV64" s="133"/>
      <c r="BW64" s="133"/>
      <c r="BY64" s="130"/>
      <c r="BZ64" s="136"/>
      <c r="CA64" s="128">
        <v>37</v>
      </c>
      <c r="CB64" s="129">
        <f>IF(SUM(CB$46:CB63)=0,CC64,0)</f>
        <v>0</v>
      </c>
      <c r="CC64" s="129">
        <f>IF(H$5&lt;38,0,IF(G47="G",0,IF(G47="C",0,IF(G47="M",0,IF(G47="K",0,IF(AND(OR($H$11="FULL",$H$11="AUTO"),G47="D"),0,37))))))</f>
        <v>0</v>
      </c>
      <c r="CD64" s="128" t="str">
        <f>IF($H$11="NONE","ENTER CIRCUIT #37 LOAD IDENTIFIER  ( G, C, M, K )","ENTER CIRCUIT #37 LOAD IDENTIFIER  ( G, D, C, M, K )")</f>
        <v>ENTER CIRCUIT #37 LOAD IDENTIFIER  ( G, D, C, M, K )</v>
      </c>
      <c r="CE64" s="129">
        <f>IF(SUM(CE$46:CE63)=0,CF64,0)</f>
        <v>0</v>
      </c>
      <c r="CF64" s="129">
        <f>IF(H$5&lt;38,0,IF(ISBLANK(F47)=TRUE,37,IF(F47=" ",0,IF(F47="H",0,37))))</f>
        <v>0</v>
      </c>
      <c r="CG64" s="128" t="s">
        <v>131</v>
      </c>
      <c r="CH64" s="129">
        <f>IF(SUM(CH$46:CH63)=0,CI64,0)</f>
        <v>0</v>
      </c>
      <c r="CI64" s="132">
        <f>IF($H$5&lt;38,0,IF(ISBLANK($E47)=TRUE,37,IF($E47="N",0,IF($E47=" ",0,37))))</f>
        <v>0</v>
      </c>
      <c r="CJ64" s="128" t="s">
        <v>455</v>
      </c>
      <c r="CK64" s="128"/>
      <c r="CL64" s="128"/>
      <c r="CM64" s="128"/>
      <c r="CN64" s="128"/>
      <c r="CO64" s="128"/>
      <c r="CP64" s="128"/>
      <c r="CQ64" s="32"/>
      <c r="CX64" s="58" t="s">
        <v>30</v>
      </c>
      <c r="CY64" s="58"/>
      <c r="CZ64" s="58" t="s">
        <v>49</v>
      </c>
      <c r="DA64" s="58" t="s">
        <v>186</v>
      </c>
      <c r="DB64" s="58" t="s">
        <v>186</v>
      </c>
      <c r="DC64" s="58"/>
      <c r="DD64" s="58" t="s">
        <v>49</v>
      </c>
      <c r="DE64" s="58" t="s">
        <v>60</v>
      </c>
      <c r="DF64" s="58" t="s">
        <v>60</v>
      </c>
      <c r="DG64" s="58" t="s">
        <v>77</v>
      </c>
      <c r="DH64" s="58" t="s">
        <v>77</v>
      </c>
      <c r="DI64" s="27"/>
      <c r="DJ64" s="27"/>
      <c r="DK64" s="27"/>
      <c r="DL64" s="27"/>
      <c r="DN64" s="22"/>
      <c r="DV64" s="62" t="s">
        <v>87</v>
      </c>
      <c r="DW64" s="62">
        <v>9</v>
      </c>
      <c r="DX64" s="62">
        <f t="shared" si="46"/>
        <v>0.15620000000000001</v>
      </c>
      <c r="DY64" s="22"/>
      <c r="DZ64" s="62" t="s">
        <v>87</v>
      </c>
      <c r="EA64" s="62">
        <v>9</v>
      </c>
      <c r="EB64" s="63">
        <v>0.19009999999999999</v>
      </c>
      <c r="EC64" s="63">
        <v>0.26600000000000001</v>
      </c>
      <c r="ED64" s="63">
        <v>0.15620000000000001</v>
      </c>
      <c r="EE64" s="63">
        <v>0.15340000000000001</v>
      </c>
      <c r="EF64" s="63">
        <v>0.16980000000000001</v>
      </c>
      <c r="EG64" s="63">
        <v>0.13519999999999999</v>
      </c>
      <c r="EH64" s="63">
        <v>0.1017</v>
      </c>
      <c r="EJ64" s="58" t="s">
        <v>76</v>
      </c>
      <c r="EK64" s="58">
        <v>5</v>
      </c>
      <c r="EL64" s="82">
        <f>IF($EK$55="AL",EN64,IF($EK$55="CU",EM64,"ERR"))</f>
        <v>0.80800000000000005</v>
      </c>
      <c r="EM64" s="82">
        <v>0.49099999999999999</v>
      </c>
      <c r="EN64" s="82">
        <v>0.80800000000000005</v>
      </c>
      <c r="EO64" s="22"/>
      <c r="EP64" s="22"/>
      <c r="EQ64" s="165">
        <v>2</v>
      </c>
      <c r="ER64" s="166">
        <v>1</v>
      </c>
      <c r="ES64" s="167" t="s">
        <v>134</v>
      </c>
      <c r="ET64" s="168">
        <f>EK$79</f>
        <v>0.80800000000000005</v>
      </c>
      <c r="EU64" s="166" t="s">
        <v>135</v>
      </c>
      <c r="EV64" s="166">
        <f>IF(EK$59&gt;1,ER64/ET64,0)</f>
        <v>0</v>
      </c>
      <c r="EW64" s="166"/>
      <c r="EX64" s="169"/>
      <c r="FW64" s="368" t="s">
        <v>87</v>
      </c>
      <c r="FX64" s="62">
        <v>9</v>
      </c>
      <c r="FY64" s="62">
        <f t="shared" si="47"/>
        <v>0.15620000000000001</v>
      </c>
      <c r="FZ64" s="22"/>
      <c r="GA64" s="62" t="s">
        <v>87</v>
      </c>
      <c r="GB64" s="62">
        <v>9</v>
      </c>
      <c r="GC64" s="63">
        <v>0.19009999999999999</v>
      </c>
      <c r="GD64" s="63">
        <v>0.26600000000000001</v>
      </c>
      <c r="GE64" s="63">
        <v>0.15620000000000001</v>
      </c>
      <c r="GF64" s="63">
        <v>0.15340000000000001</v>
      </c>
      <c r="GG64" s="63">
        <v>0.16980000000000001</v>
      </c>
      <c r="GH64" s="63">
        <v>0.13519999999999999</v>
      </c>
      <c r="GI64" s="63">
        <v>0.1017</v>
      </c>
      <c r="GK64" s="58" t="s">
        <v>76</v>
      </c>
      <c r="GL64" s="58">
        <v>5</v>
      </c>
      <c r="GM64" s="82">
        <f>IF($EK$55="AL",GO64,IF($EK$55="CU",GN64,"ERR"))</f>
        <v>0.80800000000000005</v>
      </c>
      <c r="GN64" s="82">
        <v>0.49099999999999999</v>
      </c>
      <c r="GO64" s="82">
        <v>0.80800000000000005</v>
      </c>
      <c r="GP64" s="22"/>
      <c r="GQ64" s="22"/>
      <c r="GR64" s="165">
        <v>2</v>
      </c>
      <c r="GS64" s="166">
        <v>1</v>
      </c>
      <c r="GT64" s="167" t="s">
        <v>134</v>
      </c>
      <c r="GU64" s="168">
        <f t="shared" si="49"/>
        <v>0.80800000000000005</v>
      </c>
      <c r="GV64" s="166" t="s">
        <v>135</v>
      </c>
      <c r="GW64" s="166">
        <f>IF($GL$59&gt;1,GS64/GU64,0)</f>
        <v>0</v>
      </c>
      <c r="GX64" s="166"/>
      <c r="GY64" s="169"/>
    </row>
    <row r="65" spans="1:207" ht="12" customHeight="1">
      <c r="A65" s="92"/>
      <c r="B65" s="106">
        <v>73</v>
      </c>
      <c r="C65" s="674"/>
      <c r="D65" s="671"/>
      <c r="E65" s="668" t="s">
        <v>12</v>
      </c>
      <c r="F65" s="667" t="s">
        <v>12</v>
      </c>
      <c r="G65" s="670" t="s">
        <v>394</v>
      </c>
      <c r="H65" s="669"/>
      <c r="I65" s="108" t="str">
        <f t="shared" si="28"/>
        <v>L1</v>
      </c>
      <c r="J65" s="669"/>
      <c r="K65" s="670" t="s">
        <v>394</v>
      </c>
      <c r="L65" s="667" t="s">
        <v>12</v>
      </c>
      <c r="M65" s="668" t="s">
        <v>12</v>
      </c>
      <c r="N65" s="671"/>
      <c r="O65" s="672"/>
      <c r="P65" s="106">
        <v>74</v>
      </c>
      <c r="Q65" s="92"/>
      <c r="S65" s="133">
        <f>IF($H$5&gt;72,1,0)</f>
        <v>1</v>
      </c>
      <c r="T65" s="126">
        <f t="shared" si="29"/>
        <v>0</v>
      </c>
      <c r="U65" s="126" t="str">
        <f>IF($H$8=1,"L1","L1")</f>
        <v>L1</v>
      </c>
      <c r="W65" s="133">
        <f>IF(T65=0,0,(H65+J65))</f>
        <v>0</v>
      </c>
      <c r="Z65" s="133">
        <f>IF(T65=0,0,IF(G65="G",H65,0))</f>
        <v>0</v>
      </c>
      <c r="AA65" s="133">
        <f>IF(T65=0,0,IF(K65="G",J65,0))</f>
        <v>0</v>
      </c>
      <c r="AF65" s="126">
        <f>IF(T65=0,0,IF(G65="D",H65,0))</f>
        <v>0</v>
      </c>
      <c r="AG65" s="126">
        <f>IF(T65=0,0,IF(K65="D",J65,0))</f>
        <v>0</v>
      </c>
      <c r="AL65" s="126">
        <f>IF(T65=0,0,IF(G65="C",H65,0))</f>
        <v>0</v>
      </c>
      <c r="AM65" s="126">
        <f>IF(T65=0,0,IF(K65="C",J65,0))</f>
        <v>0</v>
      </c>
      <c r="AR65" s="133">
        <f t="shared" si="26"/>
        <v>0</v>
      </c>
      <c r="AS65" s="133">
        <f t="shared" si="27"/>
        <v>0</v>
      </c>
      <c r="AT65" s="133">
        <f>IF(T65=0,0,IF(G65="M",H65,0))</f>
        <v>0</v>
      </c>
      <c r="AU65" s="133">
        <f>IF(T65=0,0,IF(K65="M",J65,0))</f>
        <v>0</v>
      </c>
      <c r="BA65" s="133">
        <f>IF(T65=0,0,IF(G65="K",H65,0))</f>
        <v>0</v>
      </c>
      <c r="BB65" s="133">
        <f>IF(T65=0,0,IF(K65="K",J65,0))</f>
        <v>0</v>
      </c>
      <c r="BC65" s="133"/>
      <c r="BD65" s="133"/>
      <c r="BE65" s="133"/>
      <c r="BF65" s="133"/>
      <c r="BG65" s="126">
        <f>IF(T65=0,0,IF(E65="N",H65,0))</f>
        <v>0</v>
      </c>
      <c r="BH65" s="133">
        <f>IF(T65=0,0,IF(M65="N",J65,0))</f>
        <v>0</v>
      </c>
      <c r="BK65" s="133">
        <f>IF(T65=0,0,IF(E65="N",H65,0))</f>
        <v>0</v>
      </c>
      <c r="BL65" s="133">
        <f>IF(T65=0,0,IF(M65="N",J65,0))</f>
        <v>0</v>
      </c>
      <c r="BM65" s="133"/>
      <c r="BN65" s="133"/>
      <c r="BO65" s="133">
        <f>IF(T65=0,0,IF(E65="N",H65,0))</f>
        <v>0</v>
      </c>
      <c r="BP65" s="133">
        <f>IF(T65=0,0,IF(M65="N",J65,0))</f>
        <v>0</v>
      </c>
      <c r="BQ65" s="133"/>
      <c r="BR65" s="133"/>
      <c r="BS65" s="133"/>
      <c r="BT65" s="133"/>
      <c r="BU65" s="133"/>
      <c r="BV65" s="133"/>
      <c r="BW65" s="133"/>
      <c r="BY65" s="130"/>
      <c r="BZ65" s="136"/>
      <c r="CA65" s="128">
        <v>39</v>
      </c>
      <c r="CB65" s="129">
        <f>IF(SUM(CB$46:CB64)=0,CC65,0)</f>
        <v>0</v>
      </c>
      <c r="CC65" s="129">
        <f>IF(H$5&lt;40,0,IF(G48="G",0,IF(G48="C",0,IF(G48="M",0,IF(G48="K",0,IF(AND(OR($H$11="FULL",$H$11="AUTO"),OR($H$8=1,$H$8="3Y"),G48="D"),0,39))))))</f>
        <v>0</v>
      </c>
      <c r="CD65" s="128" t="str">
        <f>IF($H$11="NONE","ENTER CIRCUIT #39 LOAD IDENTIFIER  ( G, C, M, K )",IF($H$8="3D","ENTER CIRCUIT #39 LOAD IDENTIFIER  ( G, C, M, K )","ENTER CIRCUIT #39 LOAD IDENTIFIER  ( G, D, C, M, K )"))</f>
        <v>ENTER CIRCUIT #39 LOAD IDENTIFIER  ( G, D, C, M, K )</v>
      </c>
      <c r="CE65" s="129">
        <f>IF(SUM(CE$46:CE64)=0,CF65,0)</f>
        <v>0</v>
      </c>
      <c r="CF65" s="129">
        <f>IF(H$5&lt;40,0,IF(ISBLANK(F48)=TRUE,39,IF(F48=" ",0,IF(F48="H",0,39))))</f>
        <v>0</v>
      </c>
      <c r="CG65" s="128" t="s">
        <v>132</v>
      </c>
      <c r="CH65" s="129">
        <f>IF(SUM(CH$46:CH64)=0,CI65,0)</f>
        <v>0</v>
      </c>
      <c r="CI65" s="132">
        <f>IF($H$5&lt;40,0,IF(ISBLANK($E48)=TRUE,39,IF($E48=" ",0,IF(AND($H$8&lt;&gt;"3D",$E48="N"),0,39))))</f>
        <v>0</v>
      </c>
      <c r="CJ65" s="128" t="str">
        <f>IF($H$8&lt;&gt;"3D","ENTER CIRCUIT #39 NEUTRAL IDENTIFIER  ( N or SPACE )","ENTER CIRCUIT #39 NEUTRAL IDENTIFIER  ( SPACE )")</f>
        <v>ENTER CIRCUIT #39 NEUTRAL IDENTIFIER  ( N or SPACE )</v>
      </c>
      <c r="CK65" s="128"/>
      <c r="CL65" s="128"/>
      <c r="CM65" s="128"/>
      <c r="CN65" s="128"/>
      <c r="CO65" s="128"/>
      <c r="CP65" s="128"/>
      <c r="CQ65" s="32"/>
      <c r="CX65" s="62" t="s">
        <v>34</v>
      </c>
      <c r="CY65" s="62"/>
      <c r="CZ65" s="62" t="s">
        <v>188</v>
      </c>
      <c r="DA65" s="62" t="s">
        <v>68</v>
      </c>
      <c r="DB65" s="62" t="s">
        <v>68</v>
      </c>
      <c r="DC65" s="62"/>
      <c r="DD65" s="62" t="s">
        <v>188</v>
      </c>
      <c r="DE65" s="62" t="s">
        <v>68</v>
      </c>
      <c r="DF65" s="62" t="s">
        <v>68</v>
      </c>
      <c r="DG65" s="62" t="s">
        <v>68</v>
      </c>
      <c r="DH65" s="62" t="s">
        <v>68</v>
      </c>
      <c r="DI65" s="27"/>
      <c r="DJ65" s="27"/>
      <c r="DK65" s="27"/>
      <c r="DL65" s="27"/>
      <c r="DN65" s="22"/>
      <c r="DV65" s="62" t="s">
        <v>93</v>
      </c>
      <c r="DW65" s="62">
        <v>10</v>
      </c>
      <c r="DX65" s="62">
        <f t="shared" si="46"/>
        <v>0.1855</v>
      </c>
      <c r="DY65" s="22"/>
      <c r="DZ65" s="62" t="s">
        <v>93</v>
      </c>
      <c r="EA65" s="62">
        <v>10</v>
      </c>
      <c r="EB65" s="63">
        <v>0.2223</v>
      </c>
      <c r="EC65" s="63">
        <v>0.3039</v>
      </c>
      <c r="ED65" s="63">
        <v>0.1855</v>
      </c>
      <c r="EE65" s="63">
        <v>0.1825</v>
      </c>
      <c r="EF65" s="63">
        <v>0.1963</v>
      </c>
      <c r="EG65" s="63">
        <v>0.159</v>
      </c>
      <c r="EH65" s="63">
        <v>0.13519999999999999</v>
      </c>
      <c r="EJ65" s="62" t="s">
        <v>80</v>
      </c>
      <c r="EK65" s="62">
        <v>6</v>
      </c>
      <c r="EL65" s="63">
        <f t="shared" si="48"/>
        <v>0.50800000000000001</v>
      </c>
      <c r="EM65" s="63">
        <v>0.308</v>
      </c>
      <c r="EN65" s="63">
        <v>0.50800000000000001</v>
      </c>
      <c r="EO65" s="22"/>
      <c r="EP65" s="22"/>
      <c r="EQ65" s="165">
        <v>3</v>
      </c>
      <c r="ER65" s="166">
        <v>1</v>
      </c>
      <c r="ES65" s="167" t="s">
        <v>134</v>
      </c>
      <c r="ET65" s="168">
        <f>EK$79</f>
        <v>0.80800000000000005</v>
      </c>
      <c r="EU65" s="166" t="s">
        <v>135</v>
      </c>
      <c r="EV65" s="166">
        <f>IF(EK$59&gt;2,ER65/ET65,0)</f>
        <v>0</v>
      </c>
      <c r="EW65" s="166"/>
      <c r="EX65" s="169"/>
      <c r="FH65" s="334" t="s">
        <v>718</v>
      </c>
      <c r="FW65" s="368" t="s">
        <v>93</v>
      </c>
      <c r="FX65" s="62">
        <v>10</v>
      </c>
      <c r="FY65" s="62">
        <f t="shared" si="47"/>
        <v>0.1855</v>
      </c>
      <c r="FZ65" s="22"/>
      <c r="GA65" s="62" t="s">
        <v>93</v>
      </c>
      <c r="GB65" s="62">
        <v>10</v>
      </c>
      <c r="GC65" s="63">
        <v>0.2223</v>
      </c>
      <c r="GD65" s="63">
        <v>0.3039</v>
      </c>
      <c r="GE65" s="63">
        <v>0.1855</v>
      </c>
      <c r="GF65" s="63">
        <v>0.1825</v>
      </c>
      <c r="GG65" s="63">
        <v>0.1963</v>
      </c>
      <c r="GH65" s="63">
        <v>0.159</v>
      </c>
      <c r="GI65" s="63">
        <v>0.13519999999999999</v>
      </c>
      <c r="GK65" s="62" t="s">
        <v>80</v>
      </c>
      <c r="GL65" s="62">
        <v>6</v>
      </c>
      <c r="GM65" s="63">
        <f t="shared" ref="GM65:GM77" si="50">IF($EK$55="AL",GO65,IF($EK$55="CU",GN65,"ERR"))</f>
        <v>0.50800000000000001</v>
      </c>
      <c r="GN65" s="63">
        <v>0.308</v>
      </c>
      <c r="GO65" s="63">
        <v>0.50800000000000001</v>
      </c>
      <c r="GP65" s="22"/>
      <c r="GQ65" s="22"/>
      <c r="GR65" s="165">
        <v>3</v>
      </c>
      <c r="GS65" s="166">
        <v>1</v>
      </c>
      <c r="GT65" s="167" t="s">
        <v>134</v>
      </c>
      <c r="GU65" s="168">
        <f t="shared" si="49"/>
        <v>0.80800000000000005</v>
      </c>
      <c r="GV65" s="166" t="s">
        <v>135</v>
      </c>
      <c r="GW65" s="166">
        <f>IF($GL$59&gt;2,GS65/GU65,0)</f>
        <v>0</v>
      </c>
      <c r="GX65" s="166"/>
      <c r="GY65" s="169"/>
    </row>
    <row r="66" spans="1:207" ht="12" customHeight="1">
      <c r="A66" s="92"/>
      <c r="B66" s="106">
        <v>75</v>
      </c>
      <c r="C66" s="674"/>
      <c r="D66" s="671"/>
      <c r="E66" s="668" t="s">
        <v>12</v>
      </c>
      <c r="F66" s="667" t="s">
        <v>12</v>
      </c>
      <c r="G66" s="670" t="s">
        <v>394</v>
      </c>
      <c r="H66" s="669"/>
      <c r="I66" s="108" t="str">
        <f t="shared" si="28"/>
        <v>L2</v>
      </c>
      <c r="J66" s="669"/>
      <c r="K66" s="670" t="s">
        <v>394</v>
      </c>
      <c r="L66" s="667" t="s">
        <v>12</v>
      </c>
      <c r="M66" s="668" t="s">
        <v>12</v>
      </c>
      <c r="N66" s="671"/>
      <c r="O66" s="672"/>
      <c r="P66" s="106">
        <v>76</v>
      </c>
      <c r="Q66" s="92"/>
      <c r="S66" s="133">
        <f>IF($H$5&gt;74,1,0)</f>
        <v>1</v>
      </c>
      <c r="T66" s="126">
        <f t="shared" si="29"/>
        <v>0</v>
      </c>
      <c r="U66" s="126" t="str">
        <f>IF($H$8=1,"L2","L2")</f>
        <v>L2</v>
      </c>
      <c r="X66" s="133">
        <f>IF(T66=0,0,(H66+J66))</f>
        <v>0</v>
      </c>
      <c r="AB66" s="133">
        <f>IF(T66=0,0,IF(G66="G",H66,0))</f>
        <v>0</v>
      </c>
      <c r="AC66" s="133">
        <f>IF(T66=0,0,IF(K66="G",J66,0))</f>
        <v>0</v>
      </c>
      <c r="AH66" s="126">
        <f>IF(T66=0,0,IF(G66="D",H66,0))</f>
        <v>0</v>
      </c>
      <c r="AI66" s="126">
        <f>IF(T66=0,0,IF(K66="D",J66,0))</f>
        <v>0</v>
      </c>
      <c r="AN66" s="126">
        <f>IF(T66=0,0,IF(G66="C",H66,0))</f>
        <v>0</v>
      </c>
      <c r="AO66" s="126">
        <f>IF(T66=0,0,IF(K66="C",J66,0))</f>
        <v>0</v>
      </c>
      <c r="AR66" s="133">
        <f t="shared" si="26"/>
        <v>0</v>
      </c>
      <c r="AS66" s="133">
        <f t="shared" si="27"/>
        <v>0</v>
      </c>
      <c r="AV66" s="133">
        <f>IF(T66=0,0,IF(G66="M",H66,0))</f>
        <v>0</v>
      </c>
      <c r="AW66" s="133">
        <f>IF(T66=0,0,IF(K66="M",J66,0))</f>
        <v>0</v>
      </c>
      <c r="BA66" s="133"/>
      <c r="BB66" s="133"/>
      <c r="BC66" s="133">
        <f>IF(T66=0,0,IF(G66="K",H66,0))</f>
        <v>0</v>
      </c>
      <c r="BD66" s="133">
        <f>IF(T66=0,0,IF(K66="K",J66,0))</f>
        <v>0</v>
      </c>
      <c r="BE66" s="133"/>
      <c r="BF66" s="133"/>
      <c r="BK66" s="133"/>
      <c r="BL66" s="133"/>
      <c r="BM66" s="133">
        <f>IF(T66=0,0,IF(E66="N",H66,0))</f>
        <v>0</v>
      </c>
      <c r="BN66" s="133">
        <f>IF(T66=0,0,IF(M66="N",J66,0))</f>
        <v>0</v>
      </c>
      <c r="BO66" s="133"/>
      <c r="BP66" s="133"/>
      <c r="BQ66" s="133">
        <f>IF(T66=0,0,IF(E66="N",H66,0))</f>
        <v>0</v>
      </c>
      <c r="BR66" s="133">
        <f>IF(T66=0,0,IF(M66="N",J66,0))</f>
        <v>0</v>
      </c>
      <c r="BS66" s="133"/>
      <c r="BT66" s="133"/>
      <c r="BU66" s="133"/>
      <c r="BV66" s="133"/>
      <c r="BW66" s="133"/>
      <c r="BY66" s="130"/>
      <c r="BZ66" s="136"/>
      <c r="CA66" s="128">
        <v>41</v>
      </c>
      <c r="CB66" s="129">
        <f>IF(SUM(CB$46:CB65)=0,CC66,0)</f>
        <v>0</v>
      </c>
      <c r="CC66" s="129">
        <f>IF(H$5&lt;42,0,IF(G49="G",0,IF(G49="C",0,IF(G49="M",0,IF(G49="K",0,IF(AND(OR($H$11="FULL",$H$11="AUTO"),G49="D"),0,41))))))</f>
        <v>0</v>
      </c>
      <c r="CD66" s="128" t="str">
        <f>IF($H$11="NONE","ENTER CIRCUIT #41 LOAD IDENTIFIER  ( G, C, M, K )","ENTER CIRCUIT #41 LOAD IDENTIFIER  ( G, D, C, M, K )")</f>
        <v>ENTER CIRCUIT #41 LOAD IDENTIFIER  ( G, D, C, M, K )</v>
      </c>
      <c r="CE66" s="129">
        <f>IF(SUM(CE$46:CE65)=0,CF66,0)</f>
        <v>0</v>
      </c>
      <c r="CF66" s="129">
        <f>IF(H$5&lt;42,0,IF(ISBLANK(F49)=TRUE,41,IF(F49=" ",0,IF(F49="H",0,41))))</f>
        <v>0</v>
      </c>
      <c r="CG66" s="128" t="s">
        <v>133</v>
      </c>
      <c r="CH66" s="129">
        <f>IF(SUM(CH$46:CH65)=0,CI66,0)</f>
        <v>0</v>
      </c>
      <c r="CI66" s="132">
        <f>IF($H$5&lt;42,0,IF(ISBLANK($E49)=TRUE,41,IF($E49="N",0,IF($E49=" ",0,41))))</f>
        <v>0</v>
      </c>
      <c r="CJ66" s="128" t="s">
        <v>456</v>
      </c>
      <c r="CK66" s="128"/>
      <c r="CL66" s="128"/>
      <c r="CM66" s="128"/>
      <c r="CN66" s="128"/>
      <c r="CO66" s="128"/>
      <c r="CP66" s="128"/>
      <c r="CQ66" s="32"/>
      <c r="CX66" s="62" t="s">
        <v>48</v>
      </c>
      <c r="CY66" s="62"/>
      <c r="CZ66" s="62" t="s">
        <v>190</v>
      </c>
      <c r="DA66" s="62" t="s">
        <v>38</v>
      </c>
      <c r="DB66" s="62" t="s">
        <v>7</v>
      </c>
      <c r="DC66" s="62"/>
      <c r="DD66" s="62" t="s">
        <v>190</v>
      </c>
      <c r="DE66" s="62" t="s">
        <v>38</v>
      </c>
      <c r="DF66" s="62" t="s">
        <v>7</v>
      </c>
      <c r="DG66" s="62" t="s">
        <v>38</v>
      </c>
      <c r="DH66" s="62" t="s">
        <v>7</v>
      </c>
      <c r="DI66" s="27"/>
      <c r="DJ66" s="27"/>
      <c r="DK66" s="27"/>
      <c r="DL66" s="27"/>
      <c r="DN66" s="22"/>
      <c r="DV66" s="62" t="s">
        <v>97</v>
      </c>
      <c r="DW66" s="62">
        <v>11</v>
      </c>
      <c r="DX66" s="62">
        <f t="shared" si="46"/>
        <v>0.2223</v>
      </c>
      <c r="DY66" s="22"/>
      <c r="DZ66" s="62" t="s">
        <v>97</v>
      </c>
      <c r="EA66" s="62">
        <v>11</v>
      </c>
      <c r="EB66" s="63">
        <v>0.26240000000000002</v>
      </c>
      <c r="EC66" s="63">
        <v>0.35049999999999998</v>
      </c>
      <c r="ED66" s="63">
        <v>0.2223</v>
      </c>
      <c r="EE66" s="63">
        <v>0.219</v>
      </c>
      <c r="EF66" s="63">
        <v>0.23319999999999999</v>
      </c>
      <c r="EG66" s="63">
        <v>0.19239999999999999</v>
      </c>
      <c r="EH66" s="63">
        <v>0.159</v>
      </c>
      <c r="EJ66" s="62" t="str">
        <f>IF(EJ28="AL",EJ65,"#3")</f>
        <v>#3</v>
      </c>
      <c r="EK66" s="62">
        <f>IF(EJ28="AL",EK65,7)</f>
        <v>7</v>
      </c>
      <c r="EL66" s="63">
        <f t="shared" si="48"/>
        <v>0.40300000000000002</v>
      </c>
      <c r="EM66" s="63">
        <v>0.245</v>
      </c>
      <c r="EN66" s="63">
        <v>0.40300000000000002</v>
      </c>
      <c r="EO66" s="22"/>
      <c r="EP66" s="22"/>
      <c r="EQ66" s="165">
        <v>4</v>
      </c>
      <c r="ER66" s="166">
        <v>1</v>
      </c>
      <c r="ES66" s="167" t="s">
        <v>134</v>
      </c>
      <c r="ET66" s="168">
        <f>EK$79</f>
        <v>0.80800000000000005</v>
      </c>
      <c r="EU66" s="166" t="s">
        <v>135</v>
      </c>
      <c r="EV66" s="166">
        <f>IF(EK$59&gt;3,ER66/ET66,0)</f>
        <v>0</v>
      </c>
      <c r="EW66" s="166"/>
      <c r="EX66" s="169"/>
      <c r="FG66" s="334" t="s">
        <v>717</v>
      </c>
      <c r="FH66" s="334" t="s">
        <v>719</v>
      </c>
      <c r="FI66" s="334">
        <f>CZ54</f>
        <v>5</v>
      </c>
      <c r="FK66" s="334" t="str">
        <f>VLOOKUP(FI66,FH72:FJ85,3)</f>
        <v>#8</v>
      </c>
      <c r="FW66" s="368" t="s">
        <v>97</v>
      </c>
      <c r="FX66" s="62">
        <v>11</v>
      </c>
      <c r="FY66" s="62">
        <f t="shared" si="47"/>
        <v>0.2223</v>
      </c>
      <c r="FZ66" s="22"/>
      <c r="GA66" s="62" t="s">
        <v>97</v>
      </c>
      <c r="GB66" s="62">
        <v>11</v>
      </c>
      <c r="GC66" s="63">
        <v>0.26240000000000002</v>
      </c>
      <c r="GD66" s="63">
        <v>0.35049999999999998</v>
      </c>
      <c r="GE66" s="63">
        <v>0.2223</v>
      </c>
      <c r="GF66" s="63">
        <v>0.219</v>
      </c>
      <c r="GG66" s="63">
        <v>0.23319999999999999</v>
      </c>
      <c r="GH66" s="63">
        <v>0.19239999999999999</v>
      </c>
      <c r="GI66" s="63">
        <v>0.159</v>
      </c>
      <c r="GK66" s="62" t="str">
        <f>IF(GK28="AL",GK65,"#3")</f>
        <v>#3</v>
      </c>
      <c r="GL66" s="62">
        <f>IF(GK28="AL",GL65,7)</f>
        <v>7</v>
      </c>
      <c r="GM66" s="63">
        <f t="shared" si="50"/>
        <v>0.40300000000000002</v>
      </c>
      <c r="GN66" s="63">
        <v>0.245</v>
      </c>
      <c r="GO66" s="63">
        <v>0.40300000000000002</v>
      </c>
      <c r="GP66" s="22"/>
      <c r="GQ66" s="22"/>
      <c r="GR66" s="165">
        <v>4</v>
      </c>
      <c r="GS66" s="166">
        <v>1</v>
      </c>
      <c r="GT66" s="167" t="s">
        <v>134</v>
      </c>
      <c r="GU66" s="168">
        <f t="shared" si="49"/>
        <v>0.80800000000000005</v>
      </c>
      <c r="GV66" s="166" t="s">
        <v>135</v>
      </c>
      <c r="GW66" s="166">
        <f>IF($GL$59&gt;3,GS66/GU66,0)</f>
        <v>0</v>
      </c>
      <c r="GX66" s="166"/>
      <c r="GY66" s="169"/>
    </row>
    <row r="67" spans="1:207" ht="14.1" customHeight="1">
      <c r="A67" s="92"/>
      <c r="B67" s="106">
        <v>77</v>
      </c>
      <c r="C67" s="674"/>
      <c r="D67" s="671"/>
      <c r="E67" s="668" t="s">
        <v>12</v>
      </c>
      <c r="F67" s="667" t="s">
        <v>12</v>
      </c>
      <c r="G67" s="670" t="s">
        <v>394</v>
      </c>
      <c r="H67" s="669"/>
      <c r="I67" s="108" t="str">
        <f t="shared" si="28"/>
        <v>L1</v>
      </c>
      <c r="J67" s="669"/>
      <c r="K67" s="670" t="s">
        <v>394</v>
      </c>
      <c r="L67" s="667" t="s">
        <v>12</v>
      </c>
      <c r="M67" s="668" t="s">
        <v>12</v>
      </c>
      <c r="N67" s="671"/>
      <c r="O67" s="672"/>
      <c r="P67" s="106">
        <v>78</v>
      </c>
      <c r="Q67" s="92"/>
      <c r="S67" s="133">
        <f>IF($H$5&gt;76,1,0)</f>
        <v>1</v>
      </c>
      <c r="T67" s="126">
        <f t="shared" si="29"/>
        <v>0</v>
      </c>
      <c r="U67" s="126" t="str">
        <f>IF($H$8=1,"L1","L3")</f>
        <v>L1</v>
      </c>
      <c r="W67" s="133">
        <f>IF(T67=0,0,IF($H$8=1,(H67+J67)," "))</f>
        <v>0</v>
      </c>
      <c r="Y67" s="133">
        <f>IF(T67=0,0,IF($H$8=1," ",(H67+J67)))</f>
        <v>0</v>
      </c>
      <c r="Z67" s="133">
        <f>IF($H$8=1,IF(T67=0,0,IF(G67="G",H67,0))," ")</f>
        <v>0</v>
      </c>
      <c r="AA67" s="133">
        <f>IF($H$8=1,IF(T67=0,0,IF(K67="G",J67,0))," ")</f>
        <v>0</v>
      </c>
      <c r="AD67" s="133" t="str">
        <f>IF($H$8=1," ",IF(T67=0,0,IF(G67="G",H67,0)))</f>
        <v xml:space="preserve"> </v>
      </c>
      <c r="AE67" s="133" t="str">
        <f>IF($H$8=1," ",IF(T67=0,0,IF(K67="G",J67,0)))</f>
        <v xml:space="preserve"> </v>
      </c>
      <c r="AF67" s="126">
        <f>IF($H$8=1,IF(T67=0,0,IF(G67="D",H67,0))," ")</f>
        <v>0</v>
      </c>
      <c r="AG67" s="126">
        <f>IF($H$8=1,IF(T67=0,0,IF(K67="D",J67,0))," ")</f>
        <v>0</v>
      </c>
      <c r="AJ67" s="126" t="str">
        <f>IF($H$8=1," ",IF(T67=0,0,IF(G67="D",H67,0)))</f>
        <v xml:space="preserve"> </v>
      </c>
      <c r="AK67" s="126" t="str">
        <f>IF($H$8=1," ",IF(T67=0,0,IF(K67="D",J67,0)))</f>
        <v xml:space="preserve"> </v>
      </c>
      <c r="AL67" s="126">
        <f>IF($H$8=1,IF(T67=0,0,IF(G67="C",H67,0))," ")</f>
        <v>0</v>
      </c>
      <c r="AM67" s="126">
        <f>IF($H$8=1,IF(T67=0,0,IF(K67="C",J67,0))," ")</f>
        <v>0</v>
      </c>
      <c r="AP67" s="126" t="str">
        <f>IF($H$8=1," ",IF(T67=0,0,IF(G67="C",H67,0)))</f>
        <v xml:space="preserve"> </v>
      </c>
      <c r="AQ67" s="126" t="str">
        <f>IF($H$8=1," ",IF(T67=0,0,IF(K67="C",J67,0)))</f>
        <v xml:space="preserve"> </v>
      </c>
      <c r="AR67" s="133">
        <f t="shared" si="26"/>
        <v>0</v>
      </c>
      <c r="AS67" s="133">
        <f t="shared" si="27"/>
        <v>0</v>
      </c>
      <c r="AT67" s="133">
        <f>IF(T67=0,0,IF($H$8=1,IF(G67="M",H67,0)," "))</f>
        <v>0</v>
      </c>
      <c r="AU67" s="133">
        <f>IF(T67=0,0,IF($H$8=1,IF(K67="M",J67,0)," "))</f>
        <v>0</v>
      </c>
      <c r="AX67" s="133">
        <f>IF(T67=0,0,IF($H$8=1," ",IF(G67="M",H67,0)))</f>
        <v>0</v>
      </c>
      <c r="AY67" s="133">
        <f>IF(T67=0,0,IF($H$8=1," ",IF(K67="M",J67,0)))</f>
        <v>0</v>
      </c>
      <c r="BA67" s="133">
        <f>IF(T67=0,0,IF($H$8=1,IF(G67="K",H67,0)," "))</f>
        <v>0</v>
      </c>
      <c r="BB67" s="133">
        <f>IF(T67=0,0,IF($H$8=1,IF(K67="K",J67,0)," "))</f>
        <v>0</v>
      </c>
      <c r="BC67" s="133"/>
      <c r="BD67" s="133"/>
      <c r="BE67" s="133">
        <f>IF(T67=0,0,IF($H$8=1," ",IF(G67="K",H67,0)))</f>
        <v>0</v>
      </c>
      <c r="BF67" s="133">
        <f>IF(T67=0,0,IF($H$8=1," ",IF(K67="K",J67,0)))</f>
        <v>0</v>
      </c>
      <c r="BG67" s="126"/>
      <c r="BI67" s="133">
        <f>IF(T67=0,0,IF(E67="N",H67,0))</f>
        <v>0</v>
      </c>
      <c r="BJ67" s="133">
        <f>IF(T67=0,0,IF(M67="N",J67,0))</f>
        <v>0</v>
      </c>
      <c r="BK67" s="133">
        <f>IF(T67=0,0,IF(E67="N",H67,0))</f>
        <v>0</v>
      </c>
      <c r="BL67" s="133">
        <f>IF(T67=0,0,IF(M67="N",J67,0))</f>
        <v>0</v>
      </c>
      <c r="BM67" s="133"/>
      <c r="BN67" s="133"/>
      <c r="BO67" s="133"/>
      <c r="BP67" s="133"/>
      <c r="BQ67" s="133"/>
      <c r="BR67" s="133"/>
      <c r="BS67" s="133">
        <f>IF(T67=0,0,IF(E67="N",H67,0))</f>
        <v>0</v>
      </c>
      <c r="BT67" s="133">
        <f>IF(T67=0,0,IF(M67="N",J67,0))</f>
        <v>0</v>
      </c>
      <c r="BU67" s="133"/>
      <c r="BV67" s="133"/>
      <c r="BW67" s="133"/>
      <c r="BY67" s="130"/>
      <c r="BZ67" s="136"/>
      <c r="CA67" s="128">
        <f>CA66+2</f>
        <v>43</v>
      </c>
      <c r="CB67" s="129">
        <f>IF(SUM(CB$46:CB66)=0,CC67,0)</f>
        <v>0</v>
      </c>
      <c r="CC67" s="129">
        <f>IF(H$5&lt;44,0,IF(G50="G",0,IF(G50="C",0,IF(G50="M",0,IF(G50="K",0,IF(AND(OR($H$11="FULL",$H$11="AUTO"),G50="D"),0,43))))))</f>
        <v>0</v>
      </c>
      <c r="CD67" s="128" t="str">
        <f>IF($H$11="NONE","ENTER CIRCUIT #43 LOAD IDENTIFIER  ( G, C, M, K )","ENTER CIRCUIT #43 LOAD IDENTIFIER  ( G, D, C, M, K )")</f>
        <v>ENTER CIRCUIT #43 LOAD IDENTIFIER  ( G, D, C, M, K )</v>
      </c>
      <c r="CE67" s="129">
        <f>IF(SUM(CE$46:CE66)=0,CF67,0)</f>
        <v>0</v>
      </c>
      <c r="CF67" s="129">
        <f>IF(H$5&lt;44,0,IF(ISBLANK(F50)=TRUE,43,IF(F50=" ",0,IF(F50="H",0,43))))</f>
        <v>0</v>
      </c>
      <c r="CG67" s="128" t="s">
        <v>318</v>
      </c>
      <c r="CH67" s="129">
        <f>IF(SUM(CH$46:CH66)=0,CI67,0)</f>
        <v>0</v>
      </c>
      <c r="CI67" s="132">
        <f>IF($H$5&lt;44,0,IF(ISBLANK($E50)=TRUE,43,IF($E50="N",0,IF($E50=" ",0,43))))</f>
        <v>0</v>
      </c>
      <c r="CJ67" s="128" t="s">
        <v>457</v>
      </c>
      <c r="CK67" s="128"/>
      <c r="CL67" s="128"/>
      <c r="CM67" s="128"/>
      <c r="CN67" s="128"/>
      <c r="CO67" s="128"/>
      <c r="CP67" s="128"/>
      <c r="CQ67" s="32"/>
      <c r="CX67" s="58">
        <v>0</v>
      </c>
      <c r="CY67" s="58"/>
      <c r="CZ67" s="58">
        <v>60</v>
      </c>
      <c r="DA67" s="58" t="str">
        <f t="shared" ref="DA67:DB76" si="51">IF($CY$62="CU",DE67,IF($CY$62="AL",DG67,"ERR"))</f>
        <v>#8</v>
      </c>
      <c r="DB67" s="58">
        <f t="shared" si="51"/>
        <v>4</v>
      </c>
      <c r="DC67" s="58"/>
      <c r="DD67" s="58">
        <v>60</v>
      </c>
      <c r="DE67" s="58" t="s">
        <v>169</v>
      </c>
      <c r="DF67" s="58">
        <v>3</v>
      </c>
      <c r="DG67" s="58" t="s">
        <v>173</v>
      </c>
      <c r="DH67" s="58">
        <v>4</v>
      </c>
      <c r="DI67" s="27"/>
      <c r="DJ67" s="27"/>
      <c r="DK67" s="27"/>
      <c r="DL67" s="27"/>
      <c r="DN67" s="22"/>
      <c r="DV67" s="62" t="s">
        <v>101</v>
      </c>
      <c r="DW67" s="62">
        <v>12</v>
      </c>
      <c r="DX67" s="62">
        <f t="shared" si="46"/>
        <v>0.26790000000000003</v>
      </c>
      <c r="DY67" s="22"/>
      <c r="DZ67" s="62" t="s">
        <v>101</v>
      </c>
      <c r="EA67" s="62">
        <v>12</v>
      </c>
      <c r="EB67" s="63">
        <v>0.31169999999999998</v>
      </c>
      <c r="EC67" s="63">
        <v>0.40720000000000001</v>
      </c>
      <c r="ED67" s="63">
        <v>0.26790000000000003</v>
      </c>
      <c r="EE67" s="63">
        <v>0.26419999999999999</v>
      </c>
      <c r="EF67" s="63">
        <v>0.27329999999999999</v>
      </c>
      <c r="EG67" s="63">
        <v>0.22900000000000001</v>
      </c>
      <c r="EH67" s="63">
        <v>0.1885</v>
      </c>
      <c r="EJ67" s="62" t="s">
        <v>83</v>
      </c>
      <c r="EK67" s="62">
        <v>8</v>
      </c>
      <c r="EL67" s="63">
        <f t="shared" si="48"/>
        <v>0.31900000000000001</v>
      </c>
      <c r="EM67" s="63">
        <v>0.19400000000000001</v>
      </c>
      <c r="EN67" s="63">
        <v>0.31900000000000001</v>
      </c>
      <c r="EO67" s="22"/>
      <c r="EP67" s="22"/>
      <c r="EQ67" s="165">
        <v>5</v>
      </c>
      <c r="ER67" s="166">
        <v>1</v>
      </c>
      <c r="ES67" s="167" t="s">
        <v>134</v>
      </c>
      <c r="ET67" s="168">
        <f>EK$79</f>
        <v>0.80800000000000005</v>
      </c>
      <c r="EU67" s="166" t="s">
        <v>135</v>
      </c>
      <c r="EV67" s="166">
        <f>IF(EK$59&gt;4,ER67/ET67,0)</f>
        <v>0</v>
      </c>
      <c r="EW67" s="166"/>
      <c r="EX67" s="169"/>
      <c r="FI67" s="334">
        <f>DA57</f>
        <v>1</v>
      </c>
      <c r="FK67" s="334" t="str">
        <f>IF(FI67&gt;1,FI102,FK66)</f>
        <v>#8</v>
      </c>
      <c r="FW67" s="368" t="s">
        <v>101</v>
      </c>
      <c r="FX67" s="62">
        <v>12</v>
      </c>
      <c r="FY67" s="62">
        <f t="shared" si="47"/>
        <v>0.26790000000000003</v>
      </c>
      <c r="FZ67" s="22"/>
      <c r="GA67" s="62" t="s">
        <v>101</v>
      </c>
      <c r="GB67" s="62">
        <v>12</v>
      </c>
      <c r="GC67" s="63">
        <v>0.31169999999999998</v>
      </c>
      <c r="GD67" s="63">
        <v>0.40720000000000001</v>
      </c>
      <c r="GE67" s="63">
        <v>0.26790000000000003</v>
      </c>
      <c r="GF67" s="63">
        <v>0.26419999999999999</v>
      </c>
      <c r="GG67" s="63">
        <v>0.27329999999999999</v>
      </c>
      <c r="GH67" s="63">
        <v>0.22900000000000001</v>
      </c>
      <c r="GI67" s="63">
        <v>0.1885</v>
      </c>
      <c r="GK67" s="62" t="s">
        <v>83</v>
      </c>
      <c r="GL67" s="62">
        <v>8</v>
      </c>
      <c r="GM67" s="63">
        <f t="shared" si="50"/>
        <v>0.31900000000000001</v>
      </c>
      <c r="GN67" s="63">
        <v>0.19400000000000001</v>
      </c>
      <c r="GO67" s="63">
        <v>0.31900000000000001</v>
      </c>
      <c r="GP67" s="22"/>
      <c r="GQ67" s="22"/>
      <c r="GR67" s="165">
        <v>5</v>
      </c>
      <c r="GS67" s="166">
        <v>1</v>
      </c>
      <c r="GT67" s="167" t="s">
        <v>134</v>
      </c>
      <c r="GU67" s="168">
        <f t="shared" si="49"/>
        <v>0.80800000000000005</v>
      </c>
      <c r="GV67" s="166" t="s">
        <v>135</v>
      </c>
      <c r="GW67" s="166">
        <f>IF($GL$59&gt;4,GS67/GU67,0)</f>
        <v>0</v>
      </c>
      <c r="GX67" s="166"/>
      <c r="GY67" s="169"/>
    </row>
    <row r="68" spans="1:207" ht="14.1" customHeight="1">
      <c r="A68" s="92"/>
      <c r="B68" s="106">
        <v>79</v>
      </c>
      <c r="C68" s="674"/>
      <c r="D68" s="671"/>
      <c r="E68" s="668" t="s">
        <v>12</v>
      </c>
      <c r="F68" s="667" t="s">
        <v>12</v>
      </c>
      <c r="G68" s="670" t="s">
        <v>394</v>
      </c>
      <c r="H68" s="669"/>
      <c r="I68" s="108" t="str">
        <f t="shared" si="28"/>
        <v>L2</v>
      </c>
      <c r="J68" s="669"/>
      <c r="K68" s="670" t="s">
        <v>394</v>
      </c>
      <c r="L68" s="667" t="s">
        <v>12</v>
      </c>
      <c r="M68" s="668" t="s">
        <v>12</v>
      </c>
      <c r="N68" s="671"/>
      <c r="O68" s="672"/>
      <c r="P68" s="106">
        <v>80</v>
      </c>
      <c r="Q68" s="92"/>
      <c r="S68" s="133">
        <f>IF($H$5&gt;78,1,0)</f>
        <v>1</v>
      </c>
      <c r="T68" s="126">
        <f t="shared" si="29"/>
        <v>0</v>
      </c>
      <c r="U68" s="126" t="str">
        <f>IF($H$8=1,"L2","L1")</f>
        <v>L2</v>
      </c>
      <c r="W68" s="133">
        <f>IF(T68=0,0,IF($H$8=1," ",(H68+J68)))</f>
        <v>0</v>
      </c>
      <c r="X68" s="133">
        <f>IF(T68=0,0,IF($H$8=1,(H68+J68)," "))</f>
        <v>0</v>
      </c>
      <c r="Z68" s="133" t="str">
        <f>IF($H$8=1," ",IF(T68=0,0,IF(G68="G",H68,0)))</f>
        <v xml:space="preserve"> </v>
      </c>
      <c r="AA68" s="133" t="str">
        <f>IF($H$8=1," ",IF(T68=0,0,IF(K68="G",J68,0)))</f>
        <v xml:space="preserve"> </v>
      </c>
      <c r="AB68" s="133">
        <f>IF($H$8=1,IF(T68=0,0,IF(G68="G",H68,0))," ")</f>
        <v>0</v>
      </c>
      <c r="AC68" s="133">
        <f>IF($H$8=1,IF(T68=0,0,IF(K68="G",J68,0))," ")</f>
        <v>0</v>
      </c>
      <c r="AF68" s="126" t="str">
        <f>IF($H$8=1," ",IF(T68=0,0,IF(G68="D",H68,0)))</f>
        <v xml:space="preserve"> </v>
      </c>
      <c r="AG68" s="126" t="str">
        <f>IF($H$8=1," ",IF(T68=0,0,IF(K68="D",J68,0)))</f>
        <v xml:space="preserve"> </v>
      </c>
      <c r="AH68" s="126">
        <f>IF($H$8=1,IF(T68=0,0,IF(G68="D",H68,0))," ")</f>
        <v>0</v>
      </c>
      <c r="AI68" s="126">
        <f>IF($H$8=1,IF(T68=0,0,IF(K68="D",J68,0))," ")</f>
        <v>0</v>
      </c>
      <c r="AL68" s="126" t="str">
        <f>IF($H$8=1," ",IF(T68=0,0,IF(G68="C",H68,0)))</f>
        <v xml:space="preserve"> </v>
      </c>
      <c r="AM68" s="126" t="str">
        <f>IF($H$8=1," ",IF(T68=0,0,IF(K68="C",J68,0)))</f>
        <v xml:space="preserve"> </v>
      </c>
      <c r="AN68" s="126">
        <f>IF($H$8=1,IF(T68=0,0,IF(G68="C",H68,0))," ")</f>
        <v>0</v>
      </c>
      <c r="AO68" s="126">
        <f>IF($H$8=1,IF(T68=0,0,IF(K68="C",J68,0))," ")</f>
        <v>0</v>
      </c>
      <c r="AR68" s="133">
        <f t="shared" si="26"/>
        <v>0</v>
      </c>
      <c r="AS68" s="133">
        <f t="shared" si="27"/>
        <v>0</v>
      </c>
      <c r="AT68" s="133">
        <f>IF(T68=0,0,IF($H$8=1," ",IF(G68="M",H68,0)))</f>
        <v>0</v>
      </c>
      <c r="AU68" s="133">
        <f>IF(T68=0,0,IF($H$8=1," ",IF(K68="M",J68,0)))</f>
        <v>0</v>
      </c>
      <c r="AV68" s="133">
        <f>IF(T68=0,0,IF($H$8=1,IF(G68="M",H68,0)," "))</f>
        <v>0</v>
      </c>
      <c r="AW68" s="133">
        <f>IF(T68=0,0,IF($H$8=1,IF(K68="M",J68,0)," "))</f>
        <v>0</v>
      </c>
      <c r="BA68" s="133">
        <f>IF(T68=0,0,IF($H$8=1," ",IF(G68="K",H68,0)))</f>
        <v>0</v>
      </c>
      <c r="BB68" s="133">
        <f>IF(T68=0,0,IF($H$8=1," ",IF(K68="K",J68,0)))</f>
        <v>0</v>
      </c>
      <c r="BC68" s="133">
        <f>IF(T68=0,0,IF($H$8=1,IF(G68="K",H68,0)," "))</f>
        <v>0</v>
      </c>
      <c r="BD68" s="133">
        <f>IF(T68=0,0,IF($H$8=1,IF(K68="K",J68,0)," "))</f>
        <v>0</v>
      </c>
      <c r="BE68" s="133"/>
      <c r="BF68" s="133"/>
      <c r="BG68" s="126">
        <f>IF(T68=0,0,IF(E68="N",H68,0))</f>
        <v>0</v>
      </c>
      <c r="BH68" s="133">
        <f>IF(T68=0,0,IF(M68="N",J68,0))</f>
        <v>0</v>
      </c>
      <c r="BK68" s="133"/>
      <c r="BL68" s="133"/>
      <c r="BM68" s="133">
        <f>IF(T68=0,0,IF(E68="N",H68,0))</f>
        <v>0</v>
      </c>
      <c r="BN68" s="133">
        <f>IF(T68=0,0,IF(M68="N",J68,0))</f>
        <v>0</v>
      </c>
      <c r="BO68" s="133">
        <f>IF(T68=0,0,IF(E68="N",H68,0))</f>
        <v>0</v>
      </c>
      <c r="BP68" s="133">
        <f>IF(T68=0,0,IF(M68="N",J68,0))</f>
        <v>0</v>
      </c>
      <c r="BQ68" s="133"/>
      <c r="BR68" s="133"/>
      <c r="BS68" s="133"/>
      <c r="BT68" s="133"/>
      <c r="BU68" s="133"/>
      <c r="BV68" s="133"/>
      <c r="BW68" s="133"/>
      <c r="BY68" s="130"/>
      <c r="BZ68" s="136"/>
      <c r="CA68" s="128">
        <f t="shared" ref="CA68:CA87" si="52">CA67+2</f>
        <v>45</v>
      </c>
      <c r="CB68" s="129">
        <f>IF(SUM(CB$46:CB67)=0,CC68,0)</f>
        <v>0</v>
      </c>
      <c r="CC68" s="129">
        <f>IF(H$5&lt;46,0,IF(G51="G",0,IF(G51="C",0,IF(G51="M",0,IF(G51="K",0,IF(AND(OR($H$11="FULL",$H$11="AUTO"),OR($H$8=1,$H$8="3Y"),G51="D"),0,45))))))</f>
        <v>0</v>
      </c>
      <c r="CD68" s="128" t="str">
        <f>IF($H$11="NONE","ENTER CIRCUIT #45 LOAD IDENTIFIER  ( G, C, M, K )",IF($H$8="3D","ENTER CIRCUIT #45 LOAD IDENTIFIER  ( G, C, M, K )","ENTER CIRCUIT #45 LOAD IDENTIFIER  ( G, D, C, M, K )"))</f>
        <v>ENTER CIRCUIT #45 LOAD IDENTIFIER  ( G, D, C, M, K )</v>
      </c>
      <c r="CE68" s="129">
        <f>IF(SUM(CE$46:CE67)=0,CF68,0)</f>
        <v>0</v>
      </c>
      <c r="CF68" s="129">
        <f>IF(H$5&lt;46,0,IF(ISBLANK(F51)=TRUE,45,IF(F51=" ",0,IF(F51="H",0,45))))</f>
        <v>0</v>
      </c>
      <c r="CG68" s="128" t="s">
        <v>319</v>
      </c>
      <c r="CH68" s="129">
        <f>IF(SUM(CH$46:CH67)=0,CI68,0)</f>
        <v>0</v>
      </c>
      <c r="CI68" s="132">
        <f>IF($H$5&lt;46,0,IF(ISBLANK($E51)=TRUE,45,IF($E51=" ",0,IF(AND($H$8&lt;&gt;"3D",$E51="N"),0,45))))</f>
        <v>0</v>
      </c>
      <c r="CJ68" s="128" t="str">
        <f>IF($H$8&lt;&gt;"3D","ENTER CIRCUIT #45 NEUTRAL IDENTIFIER  ( N or SPACE )","ENTER CIRCUIT #45 NEUTRAL IDENTIFIER  ( SPACE )")</f>
        <v>ENTER CIRCUIT #45 NEUTRAL IDENTIFIER  ( N or SPACE )</v>
      </c>
      <c r="CK68" s="128"/>
      <c r="CL68" s="128"/>
      <c r="CM68" s="128"/>
      <c r="CN68" s="128"/>
      <c r="CO68" s="128"/>
      <c r="CP68" s="128"/>
      <c r="CQ68" s="32"/>
      <c r="CX68" s="62">
        <f t="shared" ref="CX68:CX76" si="53">CZ67+0.00001</f>
        <v>60.000010000000003</v>
      </c>
      <c r="CY68" s="62"/>
      <c r="CZ68" s="62">
        <v>100</v>
      </c>
      <c r="DA68" s="62" t="str">
        <f t="shared" si="51"/>
        <v>#6</v>
      </c>
      <c r="DB68" s="62">
        <f t="shared" si="51"/>
        <v>5</v>
      </c>
      <c r="DC68" s="62"/>
      <c r="DD68" s="62">
        <v>100</v>
      </c>
      <c r="DE68" s="62" t="s">
        <v>173</v>
      </c>
      <c r="DF68" s="62">
        <v>4</v>
      </c>
      <c r="DG68" s="62" t="s">
        <v>76</v>
      </c>
      <c r="DH68" s="62">
        <v>5</v>
      </c>
      <c r="DI68" s="27"/>
      <c r="DJ68" s="27"/>
      <c r="DK68" s="27"/>
      <c r="DL68" s="27"/>
      <c r="DN68" s="22"/>
      <c r="DV68" s="62" t="s">
        <v>103</v>
      </c>
      <c r="DW68" s="62">
        <v>13</v>
      </c>
      <c r="DX68" s="62">
        <f t="shared" si="46"/>
        <v>0.32369999999999999</v>
      </c>
      <c r="DY68" s="22"/>
      <c r="DZ68" s="62" t="s">
        <v>103</v>
      </c>
      <c r="EA68" s="62">
        <v>13</v>
      </c>
      <c r="EB68" s="63">
        <v>0.37180000000000002</v>
      </c>
      <c r="EC68" s="63">
        <v>0.47539999999999999</v>
      </c>
      <c r="ED68" s="63">
        <v>0.32369999999999999</v>
      </c>
      <c r="EE68" s="63">
        <v>0.31969999999999998</v>
      </c>
      <c r="EF68" s="63">
        <v>0.32669999999999999</v>
      </c>
      <c r="EG68" s="63">
        <v>0.27800000000000002</v>
      </c>
      <c r="EH68" s="63">
        <v>0.22900000000000001</v>
      </c>
      <c r="EJ68" s="62" t="s">
        <v>87</v>
      </c>
      <c r="EK68" s="62">
        <v>9</v>
      </c>
      <c r="EL68" s="63">
        <f t="shared" si="48"/>
        <v>0.253</v>
      </c>
      <c r="EM68" s="63">
        <v>0.154</v>
      </c>
      <c r="EN68" s="63">
        <v>0.253</v>
      </c>
      <c r="EO68" s="22"/>
      <c r="EP68" s="22"/>
      <c r="EQ68" s="165">
        <v>6</v>
      </c>
      <c r="ER68" s="166">
        <v>1</v>
      </c>
      <c r="ES68" s="167" t="s">
        <v>134</v>
      </c>
      <c r="ET68" s="168">
        <f>EK$79</f>
        <v>0.80800000000000005</v>
      </c>
      <c r="EU68" s="166" t="s">
        <v>135</v>
      </c>
      <c r="EV68" s="166">
        <f>IF(EK$59&gt;5,ER68/ET68,0)</f>
        <v>0</v>
      </c>
      <c r="EW68" s="166"/>
      <c r="EX68" s="169"/>
      <c r="FW68" s="368" t="s">
        <v>103</v>
      </c>
      <c r="FX68" s="62">
        <v>13</v>
      </c>
      <c r="FY68" s="62">
        <f t="shared" si="47"/>
        <v>0.32369999999999999</v>
      </c>
      <c r="FZ68" s="22"/>
      <c r="GA68" s="62" t="s">
        <v>103</v>
      </c>
      <c r="GB68" s="62">
        <v>13</v>
      </c>
      <c r="GC68" s="63">
        <v>0.37180000000000002</v>
      </c>
      <c r="GD68" s="63">
        <v>0.47539999999999999</v>
      </c>
      <c r="GE68" s="63">
        <v>0.32369999999999999</v>
      </c>
      <c r="GF68" s="63">
        <v>0.31969999999999998</v>
      </c>
      <c r="GG68" s="63">
        <v>0.32669999999999999</v>
      </c>
      <c r="GH68" s="63">
        <v>0.27800000000000002</v>
      </c>
      <c r="GI68" s="63">
        <v>0.22900000000000001</v>
      </c>
      <c r="GK68" s="62" t="s">
        <v>87</v>
      </c>
      <c r="GL68" s="62">
        <v>9</v>
      </c>
      <c r="GM68" s="63">
        <f t="shared" si="50"/>
        <v>0.253</v>
      </c>
      <c r="GN68" s="63">
        <v>0.154</v>
      </c>
      <c r="GO68" s="63">
        <v>0.253</v>
      </c>
      <c r="GP68" s="22"/>
      <c r="GQ68" s="22"/>
      <c r="GR68" s="165">
        <v>6</v>
      </c>
      <c r="GS68" s="166">
        <v>1</v>
      </c>
      <c r="GT68" s="167" t="s">
        <v>134</v>
      </c>
      <c r="GU68" s="168">
        <f t="shared" si="49"/>
        <v>0.80800000000000005</v>
      </c>
      <c r="GV68" s="166" t="s">
        <v>135</v>
      </c>
      <c r="GW68" s="166">
        <f>IF($GL$59&gt;5,GS68/GU68,0)</f>
        <v>0</v>
      </c>
      <c r="GX68" s="166"/>
      <c r="GY68" s="169"/>
    </row>
    <row r="69" spans="1:207" ht="14.1" customHeight="1">
      <c r="A69" s="92"/>
      <c r="B69" s="106">
        <v>81</v>
      </c>
      <c r="C69" s="674"/>
      <c r="D69" s="671"/>
      <c r="E69" s="668" t="s">
        <v>12</v>
      </c>
      <c r="F69" s="667" t="s">
        <v>12</v>
      </c>
      <c r="G69" s="670" t="s">
        <v>394</v>
      </c>
      <c r="H69" s="669"/>
      <c r="I69" s="108" t="str">
        <f t="shared" si="28"/>
        <v>L1</v>
      </c>
      <c r="J69" s="669"/>
      <c r="K69" s="670" t="s">
        <v>394</v>
      </c>
      <c r="L69" s="667" t="s">
        <v>12</v>
      </c>
      <c r="M69" s="668" t="s">
        <v>12</v>
      </c>
      <c r="N69" s="671"/>
      <c r="O69" s="672"/>
      <c r="P69" s="106">
        <v>82</v>
      </c>
      <c r="Q69" s="92"/>
      <c r="S69" s="133">
        <f>IF($H$5&gt;80,1,0)</f>
        <v>1</v>
      </c>
      <c r="T69" s="126">
        <f t="shared" si="29"/>
        <v>0</v>
      </c>
      <c r="U69" s="126" t="str">
        <f>IF($H$8=1,"L1","L2")</f>
        <v>L1</v>
      </c>
      <c r="W69" s="133">
        <f>IF(T69=0,0,IF($H$8=1,(H69+J69)," "))</f>
        <v>0</v>
      </c>
      <c r="X69" s="133">
        <f>IF(T69=0,0,IF($H$8=1," ",(H69+J69)))</f>
        <v>0</v>
      </c>
      <c r="Z69" s="133">
        <f>IF($H$8=1,IF(T69=0,0,IF(G69="G",H69,0))," ")</f>
        <v>0</v>
      </c>
      <c r="AA69" s="133">
        <f>IF($H$8=1,IF(T69=0,0,IF(K69="G",J69,0))," ")</f>
        <v>0</v>
      </c>
      <c r="AB69" s="133" t="str">
        <f>IF($H$8=1," ",IF(T69=0,0,IF(G69="G",H69,0)))</f>
        <v xml:space="preserve"> </v>
      </c>
      <c r="AC69" s="133" t="str">
        <f>IF($H$8=1," ",IF(T69=0,0,IF(K69="G",J69,0)))</f>
        <v xml:space="preserve"> </v>
      </c>
      <c r="AF69" s="126">
        <f>IF($H$8=1,IF(T69=0,0,IF(G69="D",H69,0))," ")</f>
        <v>0</v>
      </c>
      <c r="AG69" s="126">
        <f>IF($H$8=1,IF(T69=0,0,IF(K69="D",J69,0))," ")</f>
        <v>0</v>
      </c>
      <c r="AH69" s="126" t="str">
        <f>IF($H$8=1," ",IF(T69=0,0,IF(G69="D",H69,0)))</f>
        <v xml:space="preserve"> </v>
      </c>
      <c r="AI69" s="126" t="str">
        <f>IF($H$8=1," ",IF(T69=0,0,IF(K69="D",J69,0)))</f>
        <v xml:space="preserve"> </v>
      </c>
      <c r="AL69" s="126">
        <f>IF($H$8=1,IF(T69=0,0,IF(G69="C",H69,0))," ")</f>
        <v>0</v>
      </c>
      <c r="AM69" s="126">
        <f>IF($H$8=1,IF(T69=0,0,IF(K69="C",J69,0))," ")</f>
        <v>0</v>
      </c>
      <c r="AN69" s="126" t="str">
        <f>IF($H$8=1," ",IF(T69=0,0,IF(G69="C",H69,0)))</f>
        <v xml:space="preserve"> </v>
      </c>
      <c r="AO69" s="126" t="str">
        <f>IF($H$8=1," ",IF(T69=0,0,IF(K69="C",J69,0)))</f>
        <v xml:space="preserve"> </v>
      </c>
      <c r="AR69" s="133">
        <f t="shared" si="26"/>
        <v>0</v>
      </c>
      <c r="AS69" s="133">
        <f t="shared" si="27"/>
        <v>0</v>
      </c>
      <c r="AT69" s="133">
        <f>IF(T69=0,0,IF($H$8=1,IF(G69="M",H69,0)," "))</f>
        <v>0</v>
      </c>
      <c r="AU69" s="133">
        <f>IF(T69=0,0,IF($H$8=1,IF(K69="M",J69,0)," "))</f>
        <v>0</v>
      </c>
      <c r="AV69" s="133">
        <f>IF(T69=0,0,IF($H$8=1," ",IF(G69="M",H69,0)))</f>
        <v>0</v>
      </c>
      <c r="AW69" s="133">
        <f>IF(T69=0,0,IF($H$8=1," ",IF(K69="M",J69,0)))</f>
        <v>0</v>
      </c>
      <c r="BA69" s="133">
        <f>IF(T69=0,0,IF($H$8=1,IF(G69="K",H69,0)," "))</f>
        <v>0</v>
      </c>
      <c r="BB69" s="133">
        <f>IF(T69=0,0,IF($H$8=1,IF(K69="K",J69,0)," "))</f>
        <v>0</v>
      </c>
      <c r="BC69" s="133">
        <f>IF(T69=0,0,IF($H$8=1," ",IF(G69="K",H69,0)))</f>
        <v>0</v>
      </c>
      <c r="BD69" s="133">
        <f>IF(T69=0,0,IF($H$8=1," ",IF(K69="K",J69,0)))</f>
        <v>0</v>
      </c>
      <c r="BE69" s="133"/>
      <c r="BF69" s="133"/>
      <c r="BK69" s="133">
        <f>IF(T69=0,0,IF(E69="N",H69,0))</f>
        <v>0</v>
      </c>
      <c r="BL69" s="133">
        <f>IF(T69=0,0,IF(M69="N",J69,0))</f>
        <v>0</v>
      </c>
      <c r="BM69" s="133"/>
      <c r="BN69" s="133"/>
      <c r="BO69" s="133"/>
      <c r="BP69" s="133"/>
      <c r="BQ69" s="133">
        <f>IF(T69=0,0,IF(E69="N",H69,0))</f>
        <v>0</v>
      </c>
      <c r="BR69" s="133">
        <f>IF(T69=0,0,IF(M69="N",J69,0))</f>
        <v>0</v>
      </c>
      <c r="BS69" s="133"/>
      <c r="BT69" s="133"/>
      <c r="BU69" s="133"/>
      <c r="BV69" s="133"/>
      <c r="BW69" s="133"/>
      <c r="BY69" s="130"/>
      <c r="BZ69" s="136"/>
      <c r="CA69" s="128">
        <f t="shared" si="52"/>
        <v>47</v>
      </c>
      <c r="CB69" s="129">
        <f>IF(SUM(CB$46:CB68)=0,CC69,0)</f>
        <v>0</v>
      </c>
      <c r="CC69" s="129">
        <f>IF(H$5&lt;48,0,IF(G52="G",0,IF(G52="C",0,IF(G52="M",0,IF(G52="K",0,IF(AND(OR($H$11="FULL",$H$11="AUTO"),G52="D"),0,47))))))</f>
        <v>0</v>
      </c>
      <c r="CD69" s="128" t="str">
        <f>IF($H$11="NONE","ENTER CIRCUIT #47 LOAD IDENTIFIER  ( G, C, M, K )","ENTER CIRCUIT #47 LOAD IDENTIFIER  ( G, D, C, M, K )")</f>
        <v>ENTER CIRCUIT #47 LOAD IDENTIFIER  ( G, D, C, M, K )</v>
      </c>
      <c r="CE69" s="129">
        <f>IF(SUM(CE$46:CE68)=0,CF69,0)</f>
        <v>0</v>
      </c>
      <c r="CF69" s="129">
        <f>IF(H$5&lt;48,0,IF(ISBLANK(F52)=TRUE,47,IF(F52=" ",0,IF(F52="H",0,47))))</f>
        <v>0</v>
      </c>
      <c r="CG69" s="128" t="s">
        <v>320</v>
      </c>
      <c r="CH69" s="129">
        <f>IF(SUM(CH$46:CH68)=0,CI69,0)</f>
        <v>0</v>
      </c>
      <c r="CI69" s="132">
        <f>IF($H$5&lt;48,0,IF(ISBLANK($E52)=TRUE,47,IF($E52="N",0,IF($E52=" ",0,47))))</f>
        <v>0</v>
      </c>
      <c r="CJ69" s="128" t="s">
        <v>458</v>
      </c>
      <c r="CK69" s="128"/>
      <c r="CL69" s="128"/>
      <c r="CM69" s="128"/>
      <c r="CN69" s="128"/>
      <c r="CO69" s="128"/>
      <c r="CP69" s="128"/>
      <c r="CQ69" s="28"/>
      <c r="CX69" s="62">
        <f t="shared" si="53"/>
        <v>100.00001</v>
      </c>
      <c r="CY69" s="62"/>
      <c r="CZ69" s="62">
        <v>200</v>
      </c>
      <c r="DA69" s="62" t="str">
        <f t="shared" si="51"/>
        <v>#4</v>
      </c>
      <c r="DB69" s="62">
        <f t="shared" si="51"/>
        <v>6</v>
      </c>
      <c r="DC69" s="62"/>
      <c r="DD69" s="62">
        <v>200</v>
      </c>
      <c r="DE69" s="62" t="s">
        <v>76</v>
      </c>
      <c r="DF69" s="62">
        <v>5</v>
      </c>
      <c r="DG69" s="62" t="s">
        <v>80</v>
      </c>
      <c r="DH69" s="62">
        <v>6</v>
      </c>
      <c r="DI69" s="27"/>
      <c r="DJ69" s="27"/>
      <c r="DK69" s="27"/>
      <c r="DL69" s="27"/>
      <c r="DN69" s="22"/>
      <c r="DV69" s="62" t="s">
        <v>106</v>
      </c>
      <c r="DW69" s="62">
        <v>14</v>
      </c>
      <c r="DX69" s="62">
        <f t="shared" si="46"/>
        <v>0.39700000000000002</v>
      </c>
      <c r="DY69" s="22"/>
      <c r="DZ69" s="62" t="s">
        <v>106</v>
      </c>
      <c r="EA69" s="62">
        <v>14</v>
      </c>
      <c r="EB69" s="63">
        <v>0.45960000000000001</v>
      </c>
      <c r="EC69" s="63">
        <v>0.62909999999999999</v>
      </c>
      <c r="ED69" s="63">
        <v>0.39700000000000002</v>
      </c>
      <c r="EE69" s="63">
        <v>0.39040000000000002</v>
      </c>
      <c r="EF69" s="63">
        <v>0.4128</v>
      </c>
      <c r="EG69" s="63">
        <v>0.35249999999999998</v>
      </c>
      <c r="EH69" s="63">
        <v>0.27329999999999999</v>
      </c>
      <c r="EJ69" s="62" t="s">
        <v>93</v>
      </c>
      <c r="EK69" s="62">
        <v>10</v>
      </c>
      <c r="EL69" s="63">
        <f t="shared" si="48"/>
        <v>0.20100000000000001</v>
      </c>
      <c r="EM69" s="63">
        <v>0.122</v>
      </c>
      <c r="EN69" s="63">
        <v>0.20100000000000001</v>
      </c>
      <c r="EO69" s="22"/>
      <c r="EP69" s="22"/>
      <c r="EQ69" s="170"/>
      <c r="ER69" s="166"/>
      <c r="ES69" s="171"/>
      <c r="ET69" s="168"/>
      <c r="EU69" s="166"/>
      <c r="EV69" s="166"/>
      <c r="EW69" s="166"/>
      <c r="EX69" s="169"/>
      <c r="FG69" s="423"/>
      <c r="FH69" s="424" t="s">
        <v>68</v>
      </c>
      <c r="FI69" s="424" t="s">
        <v>68</v>
      </c>
      <c r="FJ69" s="424" t="s">
        <v>721</v>
      </c>
      <c r="FW69" s="368" t="s">
        <v>106</v>
      </c>
      <c r="FX69" s="62">
        <v>14</v>
      </c>
      <c r="FY69" s="62">
        <f t="shared" si="47"/>
        <v>0.39700000000000002</v>
      </c>
      <c r="FZ69" s="22"/>
      <c r="GA69" s="62" t="s">
        <v>106</v>
      </c>
      <c r="GB69" s="62">
        <v>14</v>
      </c>
      <c r="GC69" s="63">
        <v>0.45960000000000001</v>
      </c>
      <c r="GD69" s="63">
        <v>0.62909999999999999</v>
      </c>
      <c r="GE69" s="63">
        <v>0.39700000000000002</v>
      </c>
      <c r="GF69" s="63">
        <v>0.39040000000000002</v>
      </c>
      <c r="GG69" s="63">
        <v>0.4128</v>
      </c>
      <c r="GH69" s="63">
        <v>0.35249999999999998</v>
      </c>
      <c r="GI69" s="63">
        <v>0.27329999999999999</v>
      </c>
      <c r="GK69" s="62" t="s">
        <v>93</v>
      </c>
      <c r="GL69" s="62">
        <v>10</v>
      </c>
      <c r="GM69" s="63">
        <f t="shared" si="50"/>
        <v>0.20100000000000001</v>
      </c>
      <c r="GN69" s="63">
        <v>0.122</v>
      </c>
      <c r="GO69" s="63">
        <v>0.20100000000000001</v>
      </c>
      <c r="GP69" s="22"/>
      <c r="GQ69" s="22"/>
      <c r="GR69" s="170"/>
      <c r="GS69" s="166"/>
      <c r="GT69" s="171"/>
      <c r="GU69" s="168"/>
      <c r="GV69" s="166"/>
      <c r="GW69" s="166"/>
      <c r="GX69" s="166"/>
      <c r="GY69" s="169"/>
    </row>
    <row r="70" spans="1:207" ht="14.1" customHeight="1">
      <c r="A70" s="92"/>
      <c r="B70" s="106">
        <v>83</v>
      </c>
      <c r="C70" s="674"/>
      <c r="D70" s="671"/>
      <c r="E70" s="668" t="s">
        <v>12</v>
      </c>
      <c r="F70" s="667" t="s">
        <v>12</v>
      </c>
      <c r="G70" s="670" t="s">
        <v>394</v>
      </c>
      <c r="H70" s="669"/>
      <c r="I70" s="108" t="str">
        <f t="shared" si="28"/>
        <v>L2</v>
      </c>
      <c r="J70" s="669"/>
      <c r="K70" s="670" t="s">
        <v>394</v>
      </c>
      <c r="L70" s="667" t="s">
        <v>12</v>
      </c>
      <c r="M70" s="668" t="s">
        <v>12</v>
      </c>
      <c r="N70" s="671"/>
      <c r="O70" s="672"/>
      <c r="P70" s="106">
        <v>84</v>
      </c>
      <c r="Q70" s="92"/>
      <c r="S70" s="133">
        <f>IF($H$5&gt;82,1,0)</f>
        <v>1</v>
      </c>
      <c r="T70" s="126">
        <f t="shared" si="29"/>
        <v>0</v>
      </c>
      <c r="U70" s="126" t="str">
        <f>IF($H$8=1,"L2","L3")</f>
        <v>L2</v>
      </c>
      <c r="X70" s="133">
        <f>IF(T70=0,0,IF($H$8=1,(H70+J70)," "))</f>
        <v>0</v>
      </c>
      <c r="Y70" s="133">
        <f>IF(T70=0,0,IF($H$8=1," ",(H70+J70)))</f>
        <v>0</v>
      </c>
      <c r="AB70" s="133">
        <f>IF($H$8=1,IF(T70=0,0,IF(G70="G",H70,0))," ")</f>
        <v>0</v>
      </c>
      <c r="AC70" s="133">
        <f>IF($H$8=1,IF(T70=0,0,IF(K70="G",J70,0))," ")</f>
        <v>0</v>
      </c>
      <c r="AD70" s="133" t="str">
        <f>IF($H$8=1," ",IF(T70=0,0,IF(G70="G",H70,0)))</f>
        <v xml:space="preserve"> </v>
      </c>
      <c r="AE70" s="133" t="str">
        <f>IF($H$8=1," ",IF(T70=0,0,IF(K70="G",J70,0)))</f>
        <v xml:space="preserve"> </v>
      </c>
      <c r="AH70" s="126">
        <f>IF($H$8=1,IF(T70=0,0,IF(G70="D",H70,0))," ")</f>
        <v>0</v>
      </c>
      <c r="AI70" s="126">
        <f>IF($H$8=1,IF(T70=0,0,IF(K70="D",J70,0))," ")</f>
        <v>0</v>
      </c>
      <c r="AJ70" s="126" t="str">
        <f>IF($H$8=1," ",IF(T70=0,0,IF(G70="D",H70,0)))</f>
        <v xml:space="preserve"> </v>
      </c>
      <c r="AK70" s="126" t="str">
        <f>IF($H$8=1," ",IF(T70=0,0,IF(K70="D",J70,0)))</f>
        <v xml:space="preserve"> </v>
      </c>
      <c r="AN70" s="126">
        <f>IF($H$8=1,IF(T70=0,0,IF(G70="C",H70,0))," ")</f>
        <v>0</v>
      </c>
      <c r="AO70" s="126">
        <f>IF($H$8=1,IF(T70=0,0,IF(K70="C",J70,0))," ")</f>
        <v>0</v>
      </c>
      <c r="AP70" s="126" t="str">
        <f>IF($H$8=1," ",IF(T70=0,0,IF(G70="C",H70,0)))</f>
        <v xml:space="preserve"> </v>
      </c>
      <c r="AQ70" s="126" t="str">
        <f>IF($H$8=1," ",IF(T70=0,0,IF(K70="C",J70,0)))</f>
        <v xml:space="preserve"> </v>
      </c>
      <c r="AR70" s="133">
        <f t="shared" si="26"/>
        <v>0</v>
      </c>
      <c r="AS70" s="133">
        <f t="shared" si="27"/>
        <v>0</v>
      </c>
      <c r="AV70" s="133">
        <f>IF(T70=0,0,IF($H$8=1,IF(G70="M",H70,0)," "))</f>
        <v>0</v>
      </c>
      <c r="AW70" s="133">
        <f>IF(T70=0,0,IF($H$8=1,IF(K70="M",J70,0)," "))</f>
        <v>0</v>
      </c>
      <c r="AX70" s="133">
        <f>IF(T70=0,0,IF($H$8=1," ",IF(G70="M",H70,0)))</f>
        <v>0</v>
      </c>
      <c r="AY70" s="133">
        <f>IF(T70=0,0,IF($H$8=1," ",IF(K70="M",J70,0)))</f>
        <v>0</v>
      </c>
      <c r="BA70" s="133"/>
      <c r="BB70" s="133"/>
      <c r="BC70" s="133">
        <f>IF(T70=0,0,IF($H$8=1,IF(G70="K",H70,0)," "))</f>
        <v>0</v>
      </c>
      <c r="BD70" s="133">
        <f>IF(T70=0,0,IF($H$8=1,IF(K70="K",J70,0)," "))</f>
        <v>0</v>
      </c>
      <c r="BE70" s="133">
        <f>IF(T70=0,0,IF($H$8=1," ",IF(G70="K",H70,0)))</f>
        <v>0</v>
      </c>
      <c r="BF70" s="133">
        <f>IF(T70=0,0,IF($H$8=1," ",IF(K70="K",J70,0)))</f>
        <v>0</v>
      </c>
      <c r="BG70" s="126"/>
      <c r="BI70" s="133">
        <f>IF(T70=0,0,IF(E70="N",H70,0))</f>
        <v>0</v>
      </c>
      <c r="BJ70" s="133">
        <f>IF(T70=0,0,IF(M70="N",J70,0))</f>
        <v>0</v>
      </c>
      <c r="BK70" s="133"/>
      <c r="BL70" s="133"/>
      <c r="BM70" s="133">
        <f>IF(T70=0,0,IF(E70="N",H70,0))</f>
        <v>0</v>
      </c>
      <c r="BN70" s="133">
        <f>IF(T70=0,0,IF(M70="N",J70,0))</f>
        <v>0</v>
      </c>
      <c r="BO70" s="133"/>
      <c r="BP70" s="133"/>
      <c r="BQ70" s="133"/>
      <c r="BR70" s="133"/>
      <c r="BS70" s="133">
        <f>IF(T70=0,0,IF(E70="N",H70,0))</f>
        <v>0</v>
      </c>
      <c r="BT70" s="133">
        <f>IF(T70=0,0,IF(M70="N",J70,0))</f>
        <v>0</v>
      </c>
      <c r="BU70" s="133"/>
      <c r="BV70" s="133"/>
      <c r="BW70" s="133"/>
      <c r="BY70" s="130"/>
      <c r="BZ70" s="136"/>
      <c r="CA70" s="128">
        <f t="shared" si="52"/>
        <v>49</v>
      </c>
      <c r="CB70" s="129">
        <f>IF(SUM(CB$46:CB69)=0,CC70,0)</f>
        <v>0</v>
      </c>
      <c r="CC70" s="129">
        <f>IF(H$5&lt;50,0,IF(G53="G",0,IF(G53="C",0,IF(G53="M",0,IF(G53="K",0,IF(AND(OR($H$11="FULL",$H$11="AUTO"),G53="D"),0,49))))))</f>
        <v>0</v>
      </c>
      <c r="CD70" s="128" t="str">
        <f>IF($H$11="NONE","ENTER CIRCUIT #49 LOAD IDENTIFIER  ( G, C, M, K )","ENTER CIRCUIT #49 LOAD IDENTIFIER  ( G, D, C, M, K )")</f>
        <v>ENTER CIRCUIT #49 LOAD IDENTIFIER  ( G, D, C, M, K )</v>
      </c>
      <c r="CE70" s="129">
        <f>IF(SUM(CE$46:CE69)=0,CF70,0)</f>
        <v>0</v>
      </c>
      <c r="CF70" s="129">
        <f>IF(H$5&lt;50,0,IF(ISBLANK(F53)=TRUE,49,IF(F53=" ",0,IF(F53="H",0,49))))</f>
        <v>0</v>
      </c>
      <c r="CG70" s="128" t="s">
        <v>321</v>
      </c>
      <c r="CH70" s="129">
        <f>IF(SUM(CH$46:CH69)=0,CI70,0)</f>
        <v>0</v>
      </c>
      <c r="CI70" s="132">
        <f>IF($H$5&lt;50,0,IF(ISBLANK($E53)=TRUE,49,IF($E53="N",0,IF($E53=" ",0,49))))</f>
        <v>0</v>
      </c>
      <c r="CJ70" s="128" t="s">
        <v>459</v>
      </c>
      <c r="CK70" s="128"/>
      <c r="CL70" s="128"/>
      <c r="CM70" s="128"/>
      <c r="CN70" s="128"/>
      <c r="CO70" s="128"/>
      <c r="CP70" s="128"/>
      <c r="CQ70" s="28"/>
      <c r="CX70" s="62">
        <f t="shared" si="53"/>
        <v>200.00001</v>
      </c>
      <c r="CY70" s="62"/>
      <c r="CZ70" s="62">
        <v>300</v>
      </c>
      <c r="DA70" s="62" t="str">
        <f t="shared" si="51"/>
        <v>#2</v>
      </c>
      <c r="DB70" s="62">
        <f t="shared" si="51"/>
        <v>8</v>
      </c>
      <c r="DC70" s="62"/>
      <c r="DD70" s="62">
        <v>300</v>
      </c>
      <c r="DE70" s="62" t="s">
        <v>80</v>
      </c>
      <c r="DF70" s="62">
        <v>6</v>
      </c>
      <c r="DG70" s="62" t="s">
        <v>83</v>
      </c>
      <c r="DH70" s="62">
        <v>8</v>
      </c>
      <c r="DI70" s="27"/>
      <c r="DJ70" s="27"/>
      <c r="DK70" s="27"/>
      <c r="DL70" s="27"/>
      <c r="DN70" s="22"/>
      <c r="DV70" s="62" t="s">
        <v>109</v>
      </c>
      <c r="DW70" s="62">
        <v>15</v>
      </c>
      <c r="DX70" s="62">
        <f t="shared" si="46"/>
        <v>0.46079999999999999</v>
      </c>
      <c r="DY70" s="22"/>
      <c r="DZ70" s="62" t="s">
        <v>109</v>
      </c>
      <c r="EA70" s="62">
        <v>15</v>
      </c>
      <c r="EB70" s="63">
        <v>0.52810000000000001</v>
      </c>
      <c r="EC70" s="63">
        <v>0.70879999999999999</v>
      </c>
      <c r="ED70" s="63">
        <v>0.46079999999999999</v>
      </c>
      <c r="EE70" s="63">
        <v>0.4536</v>
      </c>
      <c r="EF70" s="63">
        <v>0.47170000000000001</v>
      </c>
      <c r="EG70" s="63">
        <v>0.40710000000000002</v>
      </c>
      <c r="EH70" s="63">
        <v>0.34210000000000002</v>
      </c>
      <c r="EJ70" s="62" t="s">
        <v>97</v>
      </c>
      <c r="EK70" s="62">
        <v>11</v>
      </c>
      <c r="EL70" s="63">
        <f t="shared" si="48"/>
        <v>0.159</v>
      </c>
      <c r="EM70" s="63">
        <v>9.6699999999999994E-2</v>
      </c>
      <c r="EN70" s="63">
        <v>0.159</v>
      </c>
      <c r="EO70" s="22"/>
      <c r="EP70" s="22"/>
      <c r="EQ70" s="172" t="s">
        <v>252</v>
      </c>
      <c r="ER70" s="173"/>
      <c r="ES70" s="174"/>
      <c r="ET70" s="166">
        <v>1</v>
      </c>
      <c r="EU70" s="166" t="s">
        <v>134</v>
      </c>
      <c r="EV70" s="166">
        <f>SUM(EV63:EV68)</f>
        <v>0</v>
      </c>
      <c r="EW70" s="166" t="s">
        <v>135</v>
      </c>
      <c r="EX70" s="169">
        <f>IF(EK$59=1,0,ET70/EV70)</f>
        <v>0</v>
      </c>
      <c r="FG70" s="423"/>
      <c r="FH70" s="425" t="s">
        <v>38</v>
      </c>
      <c r="FI70" s="425" t="s">
        <v>38</v>
      </c>
      <c r="FJ70" s="425" t="s">
        <v>720</v>
      </c>
      <c r="FW70" s="368" t="s">
        <v>109</v>
      </c>
      <c r="FX70" s="62">
        <v>15</v>
      </c>
      <c r="FY70" s="62">
        <f t="shared" si="47"/>
        <v>0.46079999999999999</v>
      </c>
      <c r="FZ70" s="22"/>
      <c r="GA70" s="62" t="s">
        <v>109</v>
      </c>
      <c r="GB70" s="62">
        <v>15</v>
      </c>
      <c r="GC70" s="63">
        <v>0.52810000000000001</v>
      </c>
      <c r="GD70" s="63">
        <v>0.70879999999999999</v>
      </c>
      <c r="GE70" s="63">
        <v>0.46079999999999999</v>
      </c>
      <c r="GF70" s="63">
        <v>0.4536</v>
      </c>
      <c r="GG70" s="63">
        <v>0.47170000000000001</v>
      </c>
      <c r="GH70" s="63">
        <v>0.40710000000000002</v>
      </c>
      <c r="GI70" s="63">
        <v>0.34210000000000002</v>
      </c>
      <c r="GK70" s="62" t="s">
        <v>97</v>
      </c>
      <c r="GL70" s="62">
        <v>11</v>
      </c>
      <c r="GM70" s="63">
        <f t="shared" si="50"/>
        <v>0.159</v>
      </c>
      <c r="GN70" s="63">
        <v>9.6699999999999994E-2</v>
      </c>
      <c r="GO70" s="63">
        <v>0.159</v>
      </c>
      <c r="GP70" s="22"/>
      <c r="GQ70" s="22"/>
      <c r="GR70" s="172" t="s">
        <v>252</v>
      </c>
      <c r="GS70" s="173"/>
      <c r="GT70" s="174"/>
      <c r="GU70" s="166">
        <v>1</v>
      </c>
      <c r="GV70" s="166" t="s">
        <v>134</v>
      </c>
      <c r="GW70" s="166">
        <f>SUM(GW63:GW68)</f>
        <v>0</v>
      </c>
      <c r="GX70" s="166" t="s">
        <v>135</v>
      </c>
      <c r="GY70" s="169">
        <f>IF(GL$59=1,0,GU70/GW70)</f>
        <v>0</v>
      </c>
    </row>
    <row r="71" spans="1:207" ht="14.1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112"/>
      <c r="O71" s="113"/>
      <c r="P71" s="92"/>
      <c r="Q71" s="92"/>
      <c r="BA71" s="133"/>
      <c r="BB71" s="133"/>
      <c r="BC71" s="133"/>
      <c r="BD71" s="133"/>
      <c r="BE71" s="133"/>
      <c r="BF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Y71" s="130"/>
      <c r="BZ71" s="136"/>
      <c r="CA71" s="128">
        <f t="shared" si="52"/>
        <v>51</v>
      </c>
      <c r="CB71" s="129">
        <f>IF(SUM(CB$46:CB70)=0,CC71,0)</f>
        <v>0</v>
      </c>
      <c r="CC71" s="129">
        <f>IF(H$5&lt;52,0,IF(G54="G",0,IF(G54="C",0,IF(G54="M",0,IF(G54="K",0,IF(AND(OR($H$11="FULL",$H$11="AUTO"),OR($H$8=1,$H$8="3Y"),G54="D"),0,51))))))</f>
        <v>0</v>
      </c>
      <c r="CD71" s="128" t="str">
        <f>IF($H$11="NONE","ENTER CIRCUIT #51 LOAD IDENTIFIER  ( G, C, M, K )",IF($H$8="3D","ENTER CIRCUIT #51 LOAD IDENTIFIER  ( G, C, M, K )","ENTER CIRCUIT #51 LOAD IDENTIFIER  ( G, D, C, M, K )"))</f>
        <v>ENTER CIRCUIT #51 LOAD IDENTIFIER  ( G, D, C, M, K )</v>
      </c>
      <c r="CE71" s="129">
        <f>IF(SUM(CE$46:CE70)=0,CF71,0)</f>
        <v>0</v>
      </c>
      <c r="CF71" s="129">
        <f>IF(H$5&lt;52,0,IF(ISBLANK(F54)=TRUE,51,IF(F54=" ",0,IF(F54="H",0,51))))</f>
        <v>0</v>
      </c>
      <c r="CG71" s="128" t="s">
        <v>322</v>
      </c>
      <c r="CH71" s="129">
        <f>IF(SUM(CH$46:CH70)=0,CI71,0)</f>
        <v>0</v>
      </c>
      <c r="CI71" s="132">
        <f>IF($H$5&lt;52,0,IF(ISBLANK($E54)=TRUE,51,IF($E54=" ",0,IF(AND($H$8&lt;&gt;"3D",$E54="N"),0,51))))</f>
        <v>0</v>
      </c>
      <c r="CJ71" s="128" t="str">
        <f>IF($H$8&lt;&gt;"3D","ENTER CIRCUIT #51 NEUTRAL IDENTIFIER  ( N or SPACE )","ENTER CIRCUIT #51 NEUTRAL IDENTIFIER  ( SPACE )")</f>
        <v>ENTER CIRCUIT #51 NEUTRAL IDENTIFIER  ( N or SPACE )</v>
      </c>
      <c r="CK71" s="128"/>
      <c r="CL71" s="128"/>
      <c r="CM71" s="128"/>
      <c r="CN71" s="128"/>
      <c r="CO71" s="128"/>
      <c r="CP71" s="128"/>
      <c r="CQ71" s="28"/>
      <c r="CX71" s="62">
        <f t="shared" si="53"/>
        <v>300.00000999999997</v>
      </c>
      <c r="CY71" s="62"/>
      <c r="CZ71" s="62">
        <v>400</v>
      </c>
      <c r="DA71" s="62" t="str">
        <f t="shared" si="51"/>
        <v>#1</v>
      </c>
      <c r="DB71" s="62">
        <f t="shared" si="51"/>
        <v>9</v>
      </c>
      <c r="DC71" s="62"/>
      <c r="DD71" s="62">
        <v>400</v>
      </c>
      <c r="DE71" s="62" t="s">
        <v>84</v>
      </c>
      <c r="DF71" s="62">
        <v>7</v>
      </c>
      <c r="DG71" s="62" t="s">
        <v>87</v>
      </c>
      <c r="DH71" s="62">
        <v>9</v>
      </c>
      <c r="DI71" s="27"/>
      <c r="DJ71" s="27"/>
      <c r="DK71" s="27"/>
      <c r="DL71" s="27"/>
      <c r="DN71" s="22"/>
      <c r="DV71" s="62" t="s">
        <v>112</v>
      </c>
      <c r="DW71" s="62">
        <v>16</v>
      </c>
      <c r="DX71" s="62">
        <f t="shared" si="46"/>
        <v>0.5242</v>
      </c>
      <c r="DY71" s="22"/>
      <c r="DZ71" s="62" t="s">
        <v>112</v>
      </c>
      <c r="EA71" s="62">
        <v>16</v>
      </c>
      <c r="EB71" s="63">
        <v>0.5958</v>
      </c>
      <c r="EC71" s="63">
        <v>0.78700000000000003</v>
      </c>
      <c r="ED71" s="63">
        <v>0.5242</v>
      </c>
      <c r="EE71" s="63">
        <v>0.51659999999999995</v>
      </c>
      <c r="EF71" s="63">
        <v>0.52810000000000001</v>
      </c>
      <c r="EG71" s="63">
        <v>0.46560000000000001</v>
      </c>
      <c r="EH71" s="63">
        <v>0.40150000000000002</v>
      </c>
      <c r="EJ71" s="62" t="s">
        <v>101</v>
      </c>
      <c r="EK71" s="62">
        <v>12</v>
      </c>
      <c r="EL71" s="63">
        <f t="shared" si="48"/>
        <v>0.126</v>
      </c>
      <c r="EM71" s="63">
        <v>7.6600000000000001E-2</v>
      </c>
      <c r="EN71" s="63">
        <v>0.126</v>
      </c>
      <c r="EO71" s="22"/>
      <c r="EP71" s="22"/>
      <c r="EQ71" s="175"/>
      <c r="ER71" s="174"/>
      <c r="ES71" s="174"/>
      <c r="ET71" s="176"/>
      <c r="EU71" s="176"/>
      <c r="EV71" s="176"/>
      <c r="EW71" s="176"/>
      <c r="EX71" s="177"/>
      <c r="FG71" s="423"/>
      <c r="FH71" s="425" t="s">
        <v>7</v>
      </c>
      <c r="FI71" s="425" t="s">
        <v>74</v>
      </c>
      <c r="FJ71" s="425" t="s">
        <v>38</v>
      </c>
      <c r="FW71" s="368" t="s">
        <v>112</v>
      </c>
      <c r="FX71" s="62">
        <v>16</v>
      </c>
      <c r="FY71" s="62">
        <f t="shared" si="47"/>
        <v>0.5242</v>
      </c>
      <c r="FZ71" s="22"/>
      <c r="GA71" s="62" t="s">
        <v>112</v>
      </c>
      <c r="GB71" s="62">
        <v>16</v>
      </c>
      <c r="GC71" s="63">
        <v>0.5958</v>
      </c>
      <c r="GD71" s="63">
        <v>0.78700000000000003</v>
      </c>
      <c r="GE71" s="63">
        <v>0.5242</v>
      </c>
      <c r="GF71" s="63">
        <v>0.51659999999999995</v>
      </c>
      <c r="GG71" s="63">
        <v>0.52810000000000001</v>
      </c>
      <c r="GH71" s="63">
        <v>0.46560000000000001</v>
      </c>
      <c r="GI71" s="63">
        <v>0.40150000000000002</v>
      </c>
      <c r="GK71" s="62" t="s">
        <v>101</v>
      </c>
      <c r="GL71" s="62">
        <v>12</v>
      </c>
      <c r="GM71" s="63">
        <f t="shared" si="50"/>
        <v>0.126</v>
      </c>
      <c r="GN71" s="63">
        <v>7.6600000000000001E-2</v>
      </c>
      <c r="GO71" s="63">
        <v>0.126</v>
      </c>
      <c r="GP71" s="22"/>
      <c r="GQ71" s="22"/>
      <c r="GR71" s="175"/>
      <c r="GS71" s="174"/>
      <c r="GT71" s="174"/>
      <c r="GU71" s="176"/>
      <c r="GV71" s="176"/>
      <c r="GW71" s="176"/>
      <c r="GX71" s="176"/>
      <c r="GY71" s="177"/>
    </row>
    <row r="72" spans="1:207" ht="14.1" customHeight="1">
      <c r="A72" s="92"/>
      <c r="B72" s="119" t="s">
        <v>984</v>
      </c>
      <c r="C72" s="114"/>
      <c r="D72" s="92"/>
      <c r="E72" s="92"/>
      <c r="F72" s="92"/>
      <c r="G72" s="92"/>
      <c r="H72" s="92"/>
      <c r="I72" s="115" t="s">
        <v>227</v>
      </c>
      <c r="J72" s="92"/>
      <c r="K72" s="92"/>
      <c r="L72" s="92"/>
      <c r="M72" s="92"/>
      <c r="N72" s="92"/>
      <c r="O72" s="92"/>
      <c r="P72" s="92"/>
      <c r="Q72" s="92"/>
      <c r="AU72" s="132" t="s">
        <v>193</v>
      </c>
      <c r="AW72" s="132" t="s">
        <v>193</v>
      </c>
      <c r="AY72" s="132" t="s">
        <v>193</v>
      </c>
      <c r="AZ72" s="132"/>
      <c r="BA72" s="126"/>
      <c r="BB72" s="133"/>
      <c r="BC72" s="126"/>
      <c r="BD72" s="133"/>
      <c r="BE72" s="126"/>
      <c r="BF72" s="133"/>
      <c r="BG72" s="144" t="s">
        <v>396</v>
      </c>
      <c r="BH72" s="144"/>
      <c r="BI72" s="144" t="s">
        <v>396</v>
      </c>
      <c r="BJ72" s="144"/>
      <c r="BK72" s="144" t="s">
        <v>401</v>
      </c>
      <c r="BL72" s="144"/>
      <c r="BM72" s="144" t="s">
        <v>401</v>
      </c>
      <c r="BN72" s="144"/>
      <c r="BO72" s="144" t="s">
        <v>472</v>
      </c>
      <c r="BP72" s="144"/>
      <c r="BQ72" s="144" t="s">
        <v>472</v>
      </c>
      <c r="BR72" s="144"/>
      <c r="BS72" s="144" t="s">
        <v>472</v>
      </c>
      <c r="BT72" s="144"/>
      <c r="BU72" s="144"/>
      <c r="BV72" s="144"/>
      <c r="BW72" s="133"/>
      <c r="BY72" s="130"/>
      <c r="BZ72" s="136"/>
      <c r="CA72" s="128">
        <f t="shared" si="52"/>
        <v>53</v>
      </c>
      <c r="CB72" s="129">
        <f>IF(SUM(CB$46:CB71)=0,CC72,0)</f>
        <v>0</v>
      </c>
      <c r="CC72" s="129">
        <f>IF(H$5&lt;54,0,IF(G55="G",0,IF(G55="C",0,IF(G55="M",0,IF(G55="K",0,IF(AND(OR($H$11="FULL",$H$11="AUTO"),G55="D"),0,53))))))</f>
        <v>0</v>
      </c>
      <c r="CD72" s="128" t="str">
        <f>IF($H$11="NONE","ENTER CIRCUIT #53 LOAD IDENTIFIER  ( G, C, M, K )","ENTER CIRCUIT #53 LOAD IDENTIFIER  ( G, D, C, M, K )")</f>
        <v>ENTER CIRCUIT #53 LOAD IDENTIFIER  ( G, D, C, M, K )</v>
      </c>
      <c r="CE72" s="129">
        <f>IF(SUM(CE$46:CE71)=0,CF72,0)</f>
        <v>0</v>
      </c>
      <c r="CF72" s="129">
        <f>IF(H$5&lt;54,0,IF(ISBLANK(F55)=TRUE,53,IF(F55=" ",0,IF(F55="H",0,53))))</f>
        <v>0</v>
      </c>
      <c r="CG72" s="128" t="s">
        <v>323</v>
      </c>
      <c r="CH72" s="129">
        <f>IF(SUM(CH$46:CH71)=0,CI72,0)</f>
        <v>0</v>
      </c>
      <c r="CI72" s="132">
        <f>IF($H$5&lt;54,0,IF(ISBLANK($E55)=TRUE,53,IF($E55="N",0,IF($E55=" ",0,53))))</f>
        <v>0</v>
      </c>
      <c r="CJ72" s="128" t="s">
        <v>460</v>
      </c>
      <c r="CK72" s="128"/>
      <c r="CL72" s="128"/>
      <c r="CM72" s="128"/>
      <c r="CN72" s="128"/>
      <c r="CO72" s="128"/>
      <c r="CP72" s="128"/>
      <c r="CQ72" s="28"/>
      <c r="CX72" s="62">
        <f t="shared" si="53"/>
        <v>400.00000999999997</v>
      </c>
      <c r="CY72" s="62"/>
      <c r="CZ72" s="62">
        <v>500</v>
      </c>
      <c r="DA72" s="62" t="str">
        <f t="shared" si="51"/>
        <v>#1/0</v>
      </c>
      <c r="DB72" s="62">
        <f t="shared" si="51"/>
        <v>10</v>
      </c>
      <c r="DC72" s="62"/>
      <c r="DD72" s="62">
        <v>500</v>
      </c>
      <c r="DE72" s="62" t="s">
        <v>83</v>
      </c>
      <c r="DF72" s="62">
        <v>8</v>
      </c>
      <c r="DG72" s="62" t="s">
        <v>93</v>
      </c>
      <c r="DH72" s="62">
        <v>10</v>
      </c>
      <c r="DI72" s="27"/>
      <c r="DJ72" s="27"/>
      <c r="DK72" s="27"/>
      <c r="DL72" s="27"/>
      <c r="DN72" s="22"/>
      <c r="DV72" s="62" t="s">
        <v>114</v>
      </c>
      <c r="DW72" s="62">
        <v>17</v>
      </c>
      <c r="DX72" s="62">
        <f t="shared" si="46"/>
        <v>0.58630000000000004</v>
      </c>
      <c r="DY72" s="22"/>
      <c r="DZ72" s="62" t="s">
        <v>114</v>
      </c>
      <c r="EA72" s="62">
        <v>17</v>
      </c>
      <c r="EB72" s="63">
        <v>0.66190000000000004</v>
      </c>
      <c r="EC72" s="63">
        <v>0.86260000000000003</v>
      </c>
      <c r="ED72" s="63">
        <v>0.58630000000000004</v>
      </c>
      <c r="EE72" s="63">
        <v>0.57820000000000005</v>
      </c>
      <c r="EF72" s="63">
        <v>0.58760000000000001</v>
      </c>
      <c r="EG72" s="63">
        <v>0.52159999999999995</v>
      </c>
      <c r="EH72" s="63">
        <v>0.4536</v>
      </c>
      <c r="EJ72" s="62" t="s">
        <v>103</v>
      </c>
      <c r="EK72" s="62">
        <v>13</v>
      </c>
      <c r="EL72" s="63">
        <f t="shared" si="48"/>
        <v>0.1</v>
      </c>
      <c r="EM72" s="63">
        <v>6.08E-2</v>
      </c>
      <c r="EN72" s="63">
        <v>0.1</v>
      </c>
      <c r="EO72" s="22"/>
      <c r="EP72" s="22"/>
      <c r="EQ72" s="172" t="s">
        <v>253</v>
      </c>
      <c r="ER72" s="173"/>
      <c r="ES72" s="174"/>
      <c r="ET72" s="176"/>
      <c r="EU72" s="176"/>
      <c r="EV72" s="176"/>
      <c r="EW72" s="176"/>
      <c r="EX72" s="178">
        <f>IF($EK$59&gt;1,0,$EK$79)</f>
        <v>0.80800000000000005</v>
      </c>
      <c r="FG72" s="423"/>
      <c r="FH72" s="424">
        <v>5</v>
      </c>
      <c r="FI72" s="424" t="s">
        <v>76</v>
      </c>
      <c r="FJ72" s="424" t="s">
        <v>173</v>
      </c>
      <c r="FW72" s="368" t="s">
        <v>114</v>
      </c>
      <c r="FX72" s="62">
        <v>17</v>
      </c>
      <c r="FY72" s="62">
        <f t="shared" si="47"/>
        <v>0.58630000000000004</v>
      </c>
      <c r="FZ72" s="22"/>
      <c r="GA72" s="62" t="s">
        <v>114</v>
      </c>
      <c r="GB72" s="62">
        <v>17</v>
      </c>
      <c r="GC72" s="63">
        <v>0.66190000000000004</v>
      </c>
      <c r="GD72" s="63">
        <v>0.86260000000000003</v>
      </c>
      <c r="GE72" s="63">
        <v>0.58630000000000004</v>
      </c>
      <c r="GF72" s="63">
        <v>0.57820000000000005</v>
      </c>
      <c r="GG72" s="63">
        <v>0.58760000000000001</v>
      </c>
      <c r="GH72" s="63">
        <v>0.52159999999999995</v>
      </c>
      <c r="GI72" s="63">
        <v>0.4536</v>
      </c>
      <c r="GK72" s="62" t="s">
        <v>103</v>
      </c>
      <c r="GL72" s="62">
        <v>13</v>
      </c>
      <c r="GM72" s="63">
        <f t="shared" si="50"/>
        <v>0.1</v>
      </c>
      <c r="GN72" s="63">
        <v>6.08E-2</v>
      </c>
      <c r="GO72" s="63">
        <v>0.1</v>
      </c>
      <c r="GP72" s="22"/>
      <c r="GQ72" s="22"/>
      <c r="GR72" s="172" t="s">
        <v>253</v>
      </c>
      <c r="GS72" s="173"/>
      <c r="GT72" s="174"/>
      <c r="GU72" s="176"/>
      <c r="GV72" s="176"/>
      <c r="GW72" s="176"/>
      <c r="GX72" s="176"/>
      <c r="GY72" s="178">
        <f>IF($GL$59&gt;1,0,$GL$79)</f>
        <v>0.80800000000000005</v>
      </c>
    </row>
    <row r="73" spans="1:207" ht="14.1" hidden="1" customHeight="1">
      <c r="W73" s="145" t="s">
        <v>233</v>
      </c>
      <c r="X73" s="145" t="s">
        <v>233</v>
      </c>
      <c r="Y73" s="145" t="s">
        <v>233</v>
      </c>
      <c r="Z73" s="145"/>
      <c r="AA73" s="145" t="s">
        <v>39</v>
      </c>
      <c r="AB73" s="126"/>
      <c r="AC73" s="145" t="s">
        <v>39</v>
      </c>
      <c r="AD73" s="126"/>
      <c r="AE73" s="145" t="s">
        <v>39</v>
      </c>
      <c r="AG73" s="145" t="s">
        <v>61</v>
      </c>
      <c r="AI73" s="145" t="s">
        <v>61</v>
      </c>
      <c r="AK73" s="145" t="s">
        <v>61</v>
      </c>
      <c r="AM73" s="145" t="s">
        <v>189</v>
      </c>
      <c r="AO73" s="145" t="s">
        <v>189</v>
      </c>
      <c r="AQ73" s="145" t="s">
        <v>189</v>
      </c>
      <c r="AS73" s="133" t="s">
        <v>232</v>
      </c>
      <c r="AU73" s="132" t="s">
        <v>63</v>
      </c>
      <c r="AW73" s="132" t="s">
        <v>63</v>
      </c>
      <c r="AY73" s="132" t="s">
        <v>63</v>
      </c>
      <c r="AZ73" s="132"/>
      <c r="BA73" s="126" t="s">
        <v>243</v>
      </c>
      <c r="BB73" s="133"/>
      <c r="BC73" s="126" t="s">
        <v>243</v>
      </c>
      <c r="BD73" s="133"/>
      <c r="BE73" s="126" t="s">
        <v>243</v>
      </c>
      <c r="BF73" s="133"/>
      <c r="BG73" s="144" t="s">
        <v>471</v>
      </c>
      <c r="BH73" s="144"/>
      <c r="BI73" s="144" t="s">
        <v>471</v>
      </c>
      <c r="BJ73" s="144"/>
      <c r="BK73" s="144" t="s">
        <v>471</v>
      </c>
      <c r="BL73" s="144"/>
      <c r="BM73" s="144" t="s">
        <v>471</v>
      </c>
      <c r="BN73" s="144"/>
      <c r="BO73" s="144" t="s">
        <v>471</v>
      </c>
      <c r="BP73" s="144"/>
      <c r="BQ73" s="144" t="s">
        <v>471</v>
      </c>
      <c r="BR73" s="144"/>
      <c r="BS73" s="144" t="s">
        <v>471</v>
      </c>
      <c r="BT73" s="144"/>
      <c r="BU73" s="144"/>
      <c r="BV73" s="144"/>
      <c r="BW73" s="133"/>
      <c r="BY73" s="130"/>
      <c r="BZ73" s="136"/>
      <c r="CA73" s="128">
        <f t="shared" si="52"/>
        <v>55</v>
      </c>
      <c r="CB73" s="129">
        <f>IF(SUM(CB$46:CB72)=0,CC73,0)</f>
        <v>0</v>
      </c>
      <c r="CC73" s="129">
        <f>IF(H$5&lt;56,0,IF(G56="G",0,IF(G56="C",0,IF(G56="M",0,IF(G56="K",0,IF(AND(OR($H$11="FULL",$H$11="AUTO"),G56="D"),0,55))))))</f>
        <v>0</v>
      </c>
      <c r="CD73" s="128" t="str">
        <f>IF($H$11="NONE","ENTER CIRCUIT #55 LOAD IDENTIFIER  ( G, C, M, K )","ENTER CIRCUIT #55 LOAD IDENTIFIER  ( G, D, C, M, K )")</f>
        <v>ENTER CIRCUIT #55 LOAD IDENTIFIER  ( G, D, C, M, K )</v>
      </c>
      <c r="CE73" s="129">
        <f>IF(SUM(CE$46:CE72)=0,CF73,0)</f>
        <v>0</v>
      </c>
      <c r="CF73" s="129">
        <f>IF(H$5&lt;56,0,IF(ISBLANK(F56)=TRUE,55,IF(F56=" ",0,IF(F56="H",0,55))))</f>
        <v>0</v>
      </c>
      <c r="CG73" s="128" t="s">
        <v>324</v>
      </c>
      <c r="CH73" s="129">
        <f>IF(SUM(CH$46:CH72)=0,CI73,0)</f>
        <v>0</v>
      </c>
      <c r="CI73" s="132">
        <f>IF($H$5&lt;56,0,IF(ISBLANK($E56)=TRUE,55,IF($E56="N",0,IF($E56=" ",0,55))))</f>
        <v>0</v>
      </c>
      <c r="CJ73" s="128" t="s">
        <v>461</v>
      </c>
      <c r="CK73" s="128"/>
      <c r="CL73" s="128"/>
      <c r="CM73" s="128"/>
      <c r="CN73" s="128"/>
      <c r="CO73" s="128"/>
      <c r="CP73" s="128"/>
      <c r="CQ73" s="37"/>
      <c r="CX73" s="62">
        <f t="shared" si="53"/>
        <v>500.00000999999997</v>
      </c>
      <c r="CY73" s="62"/>
      <c r="CZ73" s="62">
        <v>600</v>
      </c>
      <c r="DA73" s="62" t="str">
        <f t="shared" si="51"/>
        <v>#2/0</v>
      </c>
      <c r="DB73" s="62">
        <f t="shared" si="51"/>
        <v>11</v>
      </c>
      <c r="DC73" s="62"/>
      <c r="DD73" s="62">
        <v>600</v>
      </c>
      <c r="DE73" s="62" t="s">
        <v>87</v>
      </c>
      <c r="DF73" s="62">
        <v>9</v>
      </c>
      <c r="DG73" s="62" t="s">
        <v>97</v>
      </c>
      <c r="DH73" s="62">
        <v>11</v>
      </c>
      <c r="DI73" s="27"/>
      <c r="DJ73" s="27"/>
      <c r="DK73" s="27"/>
      <c r="DL73" s="27"/>
      <c r="DN73" s="22"/>
      <c r="DV73" s="57" t="s">
        <v>116</v>
      </c>
      <c r="DW73" s="57">
        <v>18</v>
      </c>
      <c r="DX73" s="57">
        <f t="shared" si="46"/>
        <v>0.70730000000000004</v>
      </c>
      <c r="DY73" s="22"/>
      <c r="DZ73" s="57" t="s">
        <v>116</v>
      </c>
      <c r="EA73" s="57">
        <v>18</v>
      </c>
      <c r="EB73" s="67">
        <v>0.79010000000000002</v>
      </c>
      <c r="EC73" s="67">
        <v>1.0082</v>
      </c>
      <c r="ED73" s="67">
        <v>0.70730000000000004</v>
      </c>
      <c r="EE73" s="67">
        <v>0.69840000000000002</v>
      </c>
      <c r="EF73" s="67">
        <v>0.69389999999999996</v>
      </c>
      <c r="EG73" s="67">
        <v>0.61509999999999998</v>
      </c>
      <c r="EH73" s="67">
        <v>0.50260000000000005</v>
      </c>
      <c r="EJ73" s="62" t="s">
        <v>106</v>
      </c>
      <c r="EK73" s="62">
        <v>14</v>
      </c>
      <c r="EL73" s="63">
        <f t="shared" si="48"/>
        <v>8.4699999999999998E-2</v>
      </c>
      <c r="EM73" s="63">
        <v>5.1499999999999997E-2</v>
      </c>
      <c r="EN73" s="63">
        <v>8.4699999999999998E-2</v>
      </c>
      <c r="EO73" s="22"/>
      <c r="EP73" s="22"/>
      <c r="EQ73" s="179"/>
      <c r="ER73" s="180"/>
      <c r="ES73" s="180"/>
      <c r="ET73" s="181"/>
      <c r="EU73" s="181"/>
      <c r="EV73" s="181"/>
      <c r="EW73" s="181"/>
      <c r="EX73" s="182"/>
      <c r="FG73" s="423"/>
      <c r="FH73" s="425">
        <v>6</v>
      </c>
      <c r="FI73" s="425" t="s">
        <v>80</v>
      </c>
      <c r="FJ73" s="425" t="s">
        <v>173</v>
      </c>
      <c r="FW73" s="369" t="s">
        <v>116</v>
      </c>
      <c r="FX73" s="57">
        <v>18</v>
      </c>
      <c r="FY73" s="57">
        <f t="shared" si="47"/>
        <v>0.70730000000000004</v>
      </c>
      <c r="FZ73" s="22"/>
      <c r="GA73" s="57" t="s">
        <v>116</v>
      </c>
      <c r="GB73" s="57">
        <v>18</v>
      </c>
      <c r="GC73" s="67">
        <v>0.79010000000000002</v>
      </c>
      <c r="GD73" s="67">
        <v>1.0082</v>
      </c>
      <c r="GE73" s="67">
        <v>0.70730000000000004</v>
      </c>
      <c r="GF73" s="67">
        <v>0.69840000000000002</v>
      </c>
      <c r="GG73" s="67">
        <v>0.69389999999999996</v>
      </c>
      <c r="GH73" s="67">
        <v>0.61509999999999998</v>
      </c>
      <c r="GI73" s="67">
        <v>0.50260000000000005</v>
      </c>
      <c r="GK73" s="62" t="s">
        <v>106</v>
      </c>
      <c r="GL73" s="62">
        <v>14</v>
      </c>
      <c r="GM73" s="63">
        <f t="shared" si="50"/>
        <v>8.4699999999999998E-2</v>
      </c>
      <c r="GN73" s="63">
        <v>5.1499999999999997E-2</v>
      </c>
      <c r="GO73" s="63">
        <v>8.4699999999999998E-2</v>
      </c>
      <c r="GP73" s="22"/>
      <c r="GQ73" s="22"/>
      <c r="GR73" s="179"/>
      <c r="GS73" s="180"/>
      <c r="GT73" s="180"/>
      <c r="GU73" s="181"/>
      <c r="GV73" s="181"/>
      <c r="GW73" s="181"/>
      <c r="GX73" s="181"/>
      <c r="GY73" s="182"/>
    </row>
    <row r="74" spans="1:207" ht="14.1" hidden="1" customHeight="1">
      <c r="C74" s="16"/>
      <c r="D74" s="16"/>
      <c r="E74" s="16"/>
      <c r="N74" s="16" t="str">
        <f>P27</f>
        <v xml:space="preserve"> </v>
      </c>
      <c r="W74" s="145" t="s">
        <v>65</v>
      </c>
      <c r="X74" s="145" t="s">
        <v>65</v>
      </c>
      <c r="Y74" s="145" t="s">
        <v>65</v>
      </c>
      <c r="Z74" s="145"/>
      <c r="AA74" s="145" t="s">
        <v>65</v>
      </c>
      <c r="AB74" s="145"/>
      <c r="AC74" s="145" t="s">
        <v>65</v>
      </c>
      <c r="AD74" s="145"/>
      <c r="AE74" s="145" t="s">
        <v>65</v>
      </c>
      <c r="AG74" s="145" t="s">
        <v>65</v>
      </c>
      <c r="AH74" s="145"/>
      <c r="AI74" s="145" t="s">
        <v>65</v>
      </c>
      <c r="AJ74" s="145"/>
      <c r="AK74" s="145" t="s">
        <v>65</v>
      </c>
      <c r="AM74" s="145" t="s">
        <v>65</v>
      </c>
      <c r="AN74" s="145"/>
      <c r="AO74" s="145" t="s">
        <v>65</v>
      </c>
      <c r="AP74" s="145"/>
      <c r="AQ74" s="145" t="s">
        <v>65</v>
      </c>
      <c r="AS74" s="133" t="s">
        <v>62</v>
      </c>
      <c r="AU74" s="132" t="s">
        <v>65</v>
      </c>
      <c r="AW74" s="132" t="s">
        <v>65</v>
      </c>
      <c r="AY74" s="132" t="s">
        <v>65</v>
      </c>
      <c r="AZ74" s="132"/>
      <c r="BA74" s="126" t="s">
        <v>65</v>
      </c>
      <c r="BB74" s="133"/>
      <c r="BC74" s="126" t="s">
        <v>65</v>
      </c>
      <c r="BD74" s="133"/>
      <c r="BE74" s="126" t="s">
        <v>65</v>
      </c>
      <c r="BF74" s="133"/>
      <c r="BG74" s="144" t="s">
        <v>65</v>
      </c>
      <c r="BH74" s="144"/>
      <c r="BI74" s="144" t="s">
        <v>65</v>
      </c>
      <c r="BJ74" s="144"/>
      <c r="BK74" s="144" t="s">
        <v>65</v>
      </c>
      <c r="BL74" s="144"/>
      <c r="BM74" s="144" t="s">
        <v>65</v>
      </c>
      <c r="BN74" s="144"/>
      <c r="BO74" s="144" t="s">
        <v>65</v>
      </c>
      <c r="BP74" s="144"/>
      <c r="BQ74" s="144" t="s">
        <v>65</v>
      </c>
      <c r="BR74" s="144"/>
      <c r="BS74" s="144" t="s">
        <v>65</v>
      </c>
      <c r="BT74" s="144"/>
      <c r="BU74" s="144"/>
      <c r="BV74" s="144"/>
      <c r="BW74" s="133"/>
      <c r="BY74" s="130"/>
      <c r="BZ74" s="136"/>
      <c r="CA74" s="128">
        <f t="shared" si="52"/>
        <v>57</v>
      </c>
      <c r="CB74" s="129">
        <f>IF(SUM(CB$46:CB73)=0,CC74,0)</f>
        <v>0</v>
      </c>
      <c r="CC74" s="129">
        <f>IF(H$5&lt;58,0,IF(G57="G",0,IF(G57="C",0,IF(G57="M",0,IF(G57="K",0,IF(AND(OR($H$11="FULL",$H$11="AUTO"),OR($H$8=1,$H$8="3Y"),G57="D"),0,57))))))</f>
        <v>0</v>
      </c>
      <c r="CD74" s="128" t="str">
        <f>IF($H$11="NONE","ENTER CIRCUIT #57 LOAD IDENTIFIER  ( G, C, M, K )",IF($H$8="3D","ENTER CIRCUIT #57 LOAD IDENTIFIER  ( G, C, M, K )","ENTER CIRCUIT #57 LOAD IDENTIFIER  ( G, D, C, M, K )"))</f>
        <v>ENTER CIRCUIT #57 LOAD IDENTIFIER  ( G, D, C, M, K )</v>
      </c>
      <c r="CE74" s="129">
        <f>IF(SUM(CE$46:CE73)=0,CF74,0)</f>
        <v>0</v>
      </c>
      <c r="CF74" s="129">
        <f>IF(H$5&lt;58,0,IF(ISBLANK(F57)=TRUE,57,IF(F57=" ",0,IF(F57="H",0,57))))</f>
        <v>0</v>
      </c>
      <c r="CG74" s="128" t="s">
        <v>325</v>
      </c>
      <c r="CH74" s="129">
        <f>IF(SUM(CH$46:CH73)=0,CI74,0)</f>
        <v>0</v>
      </c>
      <c r="CI74" s="132">
        <f>IF($H$5&lt;58,0,IF(ISBLANK($E57)=TRUE,57,IF($E57=" ",0,IF(AND($H$8&lt;&gt;"3D",$E57="N"),0,57))))</f>
        <v>0</v>
      </c>
      <c r="CJ74" s="128" t="str">
        <f>IF($H$8&lt;&gt;"3D","ENTER CIRCUIT #57 NEUTRAL IDENTIFIER  ( N or SPACE )","ENTER CIRCUIT #57 NEUTRAL IDENTIFIER  ( SPACE )")</f>
        <v>ENTER CIRCUIT #57 NEUTRAL IDENTIFIER  ( N or SPACE )</v>
      </c>
      <c r="CK74" s="128"/>
      <c r="CL74" s="128"/>
      <c r="CM74" s="128"/>
      <c r="CN74" s="128"/>
      <c r="CO74" s="128"/>
      <c r="CP74" s="128"/>
      <c r="CQ74" s="37"/>
      <c r="CX74" s="62">
        <f t="shared" si="53"/>
        <v>600.00000999999997</v>
      </c>
      <c r="CY74" s="62"/>
      <c r="CZ74" s="62">
        <v>800</v>
      </c>
      <c r="DA74" s="62" t="str">
        <f t="shared" si="51"/>
        <v>#3/0</v>
      </c>
      <c r="DB74" s="62">
        <f t="shared" si="51"/>
        <v>12</v>
      </c>
      <c r="DC74" s="62"/>
      <c r="DD74" s="62">
        <v>800</v>
      </c>
      <c r="DE74" s="62" t="s">
        <v>93</v>
      </c>
      <c r="DF74" s="62">
        <v>10</v>
      </c>
      <c r="DG74" s="62" t="s">
        <v>101</v>
      </c>
      <c r="DH74" s="62">
        <v>12</v>
      </c>
      <c r="DI74" s="27"/>
      <c r="DJ74" s="27"/>
      <c r="DK74" s="27"/>
      <c r="DL74" s="27"/>
      <c r="DN74" s="22"/>
      <c r="DV74" s="22"/>
      <c r="DW74" s="22"/>
      <c r="DX74" s="27"/>
      <c r="DY74" s="22"/>
      <c r="DZ74" s="27"/>
      <c r="EA74" s="22"/>
      <c r="EB74" s="22"/>
      <c r="EC74" s="22"/>
      <c r="ED74" s="22"/>
      <c r="EE74" s="22"/>
      <c r="EF74" s="22"/>
      <c r="EG74" s="22"/>
      <c r="EH74" s="22"/>
      <c r="EJ74" s="62" t="s">
        <v>109</v>
      </c>
      <c r="EK74" s="62">
        <v>15</v>
      </c>
      <c r="EL74" s="63">
        <f t="shared" si="48"/>
        <v>7.0699999999999999E-2</v>
      </c>
      <c r="EM74" s="63">
        <v>4.2900000000000001E-2</v>
      </c>
      <c r="EN74" s="63">
        <v>7.0699999999999999E-2</v>
      </c>
      <c r="EO74" s="22"/>
      <c r="EP74" s="22"/>
      <c r="EQ74" s="183" t="s">
        <v>254</v>
      </c>
      <c r="ER74" s="184"/>
      <c r="ES74" s="184"/>
      <c r="ET74" s="185"/>
      <c r="EU74" s="185"/>
      <c r="EV74" s="185"/>
      <c r="EW74" s="185"/>
      <c r="EX74" s="186">
        <f>ROUND(MAX(EX70:EX72),4)</f>
        <v>0.80800000000000005</v>
      </c>
      <c r="FH74" s="425">
        <f>IF(EY60="AL",FH73,7)</f>
        <v>7</v>
      </c>
      <c r="FI74" s="425" t="str">
        <f>IF(FA60="AL",FI73,"#3")</f>
        <v>#3</v>
      </c>
      <c r="FJ74" s="425" t="s">
        <v>173</v>
      </c>
      <c r="FW74" s="361" t="s">
        <v>580</v>
      </c>
      <c r="FX74" s="22"/>
      <c r="FY74" s="27"/>
      <c r="FZ74" s="22"/>
      <c r="GA74" s="27"/>
      <c r="GB74" s="22"/>
      <c r="GC74" s="22"/>
      <c r="GD74" s="22"/>
      <c r="GE74" s="22"/>
      <c r="GF74" s="22"/>
      <c r="GG74" s="22"/>
      <c r="GH74" s="22"/>
      <c r="GI74" s="22"/>
      <c r="GK74" s="62" t="s">
        <v>109</v>
      </c>
      <c r="GL74" s="62">
        <v>15</v>
      </c>
      <c r="GM74" s="63">
        <f t="shared" si="50"/>
        <v>7.0699999999999999E-2</v>
      </c>
      <c r="GN74" s="63">
        <v>4.2900000000000001E-2</v>
      </c>
      <c r="GO74" s="63">
        <v>7.0699999999999999E-2</v>
      </c>
      <c r="GP74" s="22"/>
      <c r="GQ74" s="22"/>
      <c r="GR74" s="183" t="s">
        <v>254</v>
      </c>
      <c r="GS74" s="184"/>
      <c r="GT74" s="184"/>
      <c r="GU74" s="185"/>
      <c r="GV74" s="185"/>
      <c r="GW74" s="185"/>
      <c r="GX74" s="185"/>
      <c r="GY74" s="186">
        <f>ROUND(MAX(GY70:GY72),4)</f>
        <v>0.80800000000000005</v>
      </c>
    </row>
    <row r="75" spans="1:207" ht="14.1" hidden="1" customHeight="1">
      <c r="W75" s="145" t="s">
        <v>55</v>
      </c>
      <c r="X75" s="145" t="s">
        <v>56</v>
      </c>
      <c r="Y75" s="145" t="s">
        <v>57</v>
      </c>
      <c r="Z75" s="145"/>
      <c r="AA75" s="145" t="s">
        <v>55</v>
      </c>
      <c r="AB75" s="145"/>
      <c r="AC75" s="145" t="s">
        <v>56</v>
      </c>
      <c r="AD75" s="145"/>
      <c r="AE75" s="145" t="s">
        <v>57</v>
      </c>
      <c r="AG75" s="145" t="s">
        <v>55</v>
      </c>
      <c r="AH75" s="145"/>
      <c r="AI75" s="145" t="s">
        <v>56</v>
      </c>
      <c r="AJ75" s="145"/>
      <c r="AK75" s="145" t="s">
        <v>57</v>
      </c>
      <c r="AM75" s="145" t="s">
        <v>55</v>
      </c>
      <c r="AN75" s="145"/>
      <c r="AO75" s="145" t="s">
        <v>56</v>
      </c>
      <c r="AP75" s="145"/>
      <c r="AQ75" s="145" t="s">
        <v>57</v>
      </c>
      <c r="AS75" s="133" t="s">
        <v>65</v>
      </c>
      <c r="AU75" s="132" t="s">
        <v>55</v>
      </c>
      <c r="AW75" s="132" t="s">
        <v>56</v>
      </c>
      <c r="AY75" s="132" t="s">
        <v>57</v>
      </c>
      <c r="AZ75" s="132"/>
      <c r="BA75" s="126" t="s">
        <v>55</v>
      </c>
      <c r="BB75" s="133"/>
      <c r="BC75" s="126" t="s">
        <v>56</v>
      </c>
      <c r="BD75" s="133"/>
      <c r="BE75" s="126" t="s">
        <v>57</v>
      </c>
      <c r="BF75" s="133"/>
      <c r="BG75" s="126" t="s">
        <v>55</v>
      </c>
      <c r="BI75" s="126" t="s">
        <v>57</v>
      </c>
      <c r="BK75" s="144" t="s">
        <v>55</v>
      </c>
      <c r="BL75" s="144"/>
      <c r="BM75" s="144" t="s">
        <v>56</v>
      </c>
      <c r="BN75" s="144"/>
      <c r="BO75" s="144" t="s">
        <v>55</v>
      </c>
      <c r="BP75" s="144"/>
      <c r="BQ75" s="144" t="s">
        <v>56</v>
      </c>
      <c r="BR75" s="144"/>
      <c r="BS75" s="144" t="s">
        <v>57</v>
      </c>
      <c r="BT75" s="144"/>
      <c r="BU75" s="144"/>
      <c r="BV75" s="144"/>
      <c r="BW75" s="133"/>
      <c r="BY75" s="130"/>
      <c r="BZ75" s="136"/>
      <c r="CA75" s="128">
        <f t="shared" si="52"/>
        <v>59</v>
      </c>
      <c r="CB75" s="129">
        <f>IF(SUM(CB$46:CB74)=0,CC75,0)</f>
        <v>0</v>
      </c>
      <c r="CC75" s="129">
        <f>IF(H$5&lt;60,0,IF(G58="G",0,IF(G58="C",0,IF(G58="M",0,IF(G58="K",0,IF(AND(OR($H$11="FULL",$H$11="AUTO"),G58="D"),0,59))))))</f>
        <v>0</v>
      </c>
      <c r="CD75" s="128" t="str">
        <f>IF($H$11="NONE","ENTER CIRCUIT #59 LOAD IDENTIFIER  ( G, C, M, K )","ENTER CIRCUIT #59 LOAD IDENTIFIER  ( G, D, C, M, K )")</f>
        <v>ENTER CIRCUIT #59 LOAD IDENTIFIER  ( G, D, C, M, K )</v>
      </c>
      <c r="CE75" s="129">
        <f>IF(SUM(CE$46:CE74)=0,CF75,0)</f>
        <v>0</v>
      </c>
      <c r="CF75" s="129">
        <f>IF(H$5&lt;60,0,IF(ISBLANK(F58)=TRUE,59,IF(F58=" ",0,IF(F58="H",0,59))))</f>
        <v>0</v>
      </c>
      <c r="CG75" s="128" t="s">
        <v>326</v>
      </c>
      <c r="CH75" s="129">
        <f>IF(SUM(CH$46:CH74)=0,CI75,0)</f>
        <v>0</v>
      </c>
      <c r="CI75" s="132">
        <f>IF($H$5&lt;60,0,IF(ISBLANK($E58)=TRUE,59,IF($E58="N",0,IF($E58=" ",0,59))))</f>
        <v>0</v>
      </c>
      <c r="CJ75" s="128" t="s">
        <v>462</v>
      </c>
      <c r="CK75" s="128"/>
      <c r="CL75" s="128"/>
      <c r="CM75" s="128"/>
      <c r="CN75" s="128"/>
      <c r="CO75" s="128"/>
      <c r="CP75" s="128"/>
      <c r="CQ75" s="37"/>
      <c r="CX75" s="62">
        <f t="shared" si="53"/>
        <v>800.00000999999997</v>
      </c>
      <c r="CY75" s="62"/>
      <c r="CZ75" s="62">
        <v>1000</v>
      </c>
      <c r="DA75" s="62" t="str">
        <f t="shared" si="51"/>
        <v>#4/0</v>
      </c>
      <c r="DB75" s="62">
        <f t="shared" si="51"/>
        <v>13</v>
      </c>
      <c r="DC75" s="62"/>
      <c r="DD75" s="62">
        <v>1000</v>
      </c>
      <c r="DE75" s="62" t="s">
        <v>97</v>
      </c>
      <c r="DF75" s="62">
        <v>11</v>
      </c>
      <c r="DG75" s="62" t="s">
        <v>103</v>
      </c>
      <c r="DH75" s="62">
        <v>13</v>
      </c>
      <c r="DI75" s="27"/>
      <c r="DJ75" s="27"/>
      <c r="DK75" s="27"/>
      <c r="DL75" s="27"/>
      <c r="DN75" s="22"/>
      <c r="DV75" s="69" t="s">
        <v>488</v>
      </c>
      <c r="DW75" s="79">
        <f>VLOOKUP(DW45,DW58:DX73,1)</f>
        <v>5</v>
      </c>
      <c r="DX75" s="79"/>
      <c r="DY75" s="79" t="s">
        <v>494</v>
      </c>
      <c r="DZ75" s="79" t="s">
        <v>56</v>
      </c>
      <c r="EA75" s="79" t="s">
        <v>495</v>
      </c>
      <c r="EB75" s="79" t="s">
        <v>110</v>
      </c>
      <c r="EC75" s="79"/>
      <c r="ED75" s="79"/>
      <c r="EE75" s="79"/>
      <c r="EF75" s="70"/>
      <c r="EG75" s="22"/>
      <c r="EH75" s="22"/>
      <c r="EJ75" s="62" t="s">
        <v>112</v>
      </c>
      <c r="EK75" s="62">
        <v>16</v>
      </c>
      <c r="EL75" s="63">
        <f t="shared" si="48"/>
        <v>6.0499999999999998E-2</v>
      </c>
      <c r="EM75" s="63">
        <v>3.6700000000000003E-2</v>
      </c>
      <c r="EN75" s="63">
        <v>6.0499999999999998E-2</v>
      </c>
      <c r="EO75" s="22"/>
      <c r="EP75" s="22"/>
      <c r="EQ75" s="22"/>
      <c r="ER75" s="22"/>
      <c r="ES75" s="22"/>
      <c r="FH75" s="425">
        <v>8</v>
      </c>
      <c r="FI75" s="425" t="s">
        <v>83</v>
      </c>
      <c r="FJ75" s="425" t="s">
        <v>173</v>
      </c>
      <c r="FW75" s="370" t="s">
        <v>585</v>
      </c>
      <c r="FX75" s="79">
        <f>VLOOKUP(FX45,FX58:FY73,1)</f>
        <v>5</v>
      </c>
      <c r="FY75" s="79"/>
      <c r="FZ75" s="79" t="s">
        <v>494</v>
      </c>
      <c r="GA75" s="79" t="s">
        <v>57</v>
      </c>
      <c r="GB75" s="79"/>
      <c r="GC75" s="79" t="s">
        <v>110</v>
      </c>
      <c r="GD75" s="79"/>
      <c r="GE75" s="79"/>
      <c r="GF75" s="79"/>
      <c r="GG75" s="70"/>
      <c r="GH75" s="22"/>
      <c r="GI75" s="22"/>
      <c r="GK75" s="62" t="s">
        <v>112</v>
      </c>
      <c r="GL75" s="62">
        <v>16</v>
      </c>
      <c r="GM75" s="63">
        <f t="shared" si="50"/>
        <v>6.0499999999999998E-2</v>
      </c>
      <c r="GN75" s="63">
        <v>3.6700000000000003E-2</v>
      </c>
      <c r="GO75" s="63">
        <v>6.0499999999999998E-2</v>
      </c>
      <c r="GP75" s="22"/>
      <c r="GQ75" s="22"/>
      <c r="GR75" s="22"/>
      <c r="GS75" s="22"/>
      <c r="GT75" s="22"/>
    </row>
    <row r="76" spans="1:207" ht="14.1" hidden="1" customHeight="1">
      <c r="J76" s="16"/>
      <c r="W76" s="140">
        <f>SUM(W29:W70)</f>
        <v>0</v>
      </c>
      <c r="X76" s="140">
        <f>SUM(X29:X70)</f>
        <v>0</v>
      </c>
      <c r="Y76" s="140">
        <f>SUM(Y29:Y70)</f>
        <v>0</v>
      </c>
      <c r="Z76" s="150"/>
      <c r="AA76" s="140">
        <f>SUM(Z29:AA70)</f>
        <v>0</v>
      </c>
      <c r="AB76" s="150"/>
      <c r="AC76" s="140">
        <f>SUM(AB29:AC70)</f>
        <v>0</v>
      </c>
      <c r="AD76" s="150"/>
      <c r="AE76" s="140">
        <f>SUM(AD29:AE70)</f>
        <v>0</v>
      </c>
      <c r="AG76" s="140">
        <f>SUM(AF29:AG70)</f>
        <v>0</v>
      </c>
      <c r="AH76" s="150"/>
      <c r="AI76" s="140">
        <f>SUM(AH29:AI70)</f>
        <v>0</v>
      </c>
      <c r="AJ76" s="150"/>
      <c r="AK76" s="140">
        <f>SUM(AJ29:AK70)</f>
        <v>0</v>
      </c>
      <c r="AM76" s="140">
        <f>SUM(AL29:AM70)</f>
        <v>0</v>
      </c>
      <c r="AN76" s="150"/>
      <c r="AO76" s="140">
        <f>SUM(AN29:AO70)</f>
        <v>0</v>
      </c>
      <c r="AP76" s="150"/>
      <c r="AQ76" s="140">
        <f>SUM(AP29:AQ70)</f>
        <v>0</v>
      </c>
      <c r="AS76" s="140">
        <f>SUM(AR29:AS70)</f>
        <v>0</v>
      </c>
      <c r="AU76" s="137">
        <f>SUM(AT29:AU70)</f>
        <v>0</v>
      </c>
      <c r="AW76" s="137">
        <f>SUM(AV29:AW70)</f>
        <v>0</v>
      </c>
      <c r="AY76" s="137">
        <f>SUM(AX29:AY70)</f>
        <v>0</v>
      </c>
      <c r="AZ76" s="132"/>
      <c r="BA76" s="140">
        <f>SUM(BA29:BB70)</f>
        <v>0</v>
      </c>
      <c r="BB76" s="133"/>
      <c r="BC76" s="140">
        <f>SUM(BC29:BD70)</f>
        <v>0</v>
      </c>
      <c r="BD76" s="133"/>
      <c r="BE76" s="140">
        <f>SUM(BE29:BF70)</f>
        <v>0</v>
      </c>
      <c r="BF76" s="133"/>
      <c r="BG76" s="140">
        <f>SUM(BG29:BH70)</f>
        <v>0</v>
      </c>
      <c r="BI76" s="140">
        <f>SUM(BI29:BJ70)</f>
        <v>0</v>
      </c>
      <c r="BK76" s="140">
        <f>SUM(BK29:BL70)</f>
        <v>0</v>
      </c>
      <c r="BL76" s="133"/>
      <c r="BM76" s="140">
        <f>SUM(BM29:BN70)</f>
        <v>0</v>
      </c>
      <c r="BN76" s="133"/>
      <c r="BO76" s="140">
        <f>SUM(BO29:BP70)</f>
        <v>0</v>
      </c>
      <c r="BP76" s="133"/>
      <c r="BQ76" s="140">
        <f>SUM(BQ29:BR70)</f>
        <v>0</v>
      </c>
      <c r="BR76" s="133"/>
      <c r="BS76" s="140">
        <f>SUM(BS29:BT70)</f>
        <v>0</v>
      </c>
      <c r="BT76" s="133"/>
      <c r="BU76" s="144"/>
      <c r="BV76" s="133"/>
      <c r="BW76" s="133"/>
      <c r="BY76" s="130"/>
      <c r="BZ76" s="136"/>
      <c r="CA76" s="128">
        <f t="shared" si="52"/>
        <v>61</v>
      </c>
      <c r="CB76" s="129">
        <f>IF(SUM(CB$46:CB75)=0,CC76,0)</f>
        <v>0</v>
      </c>
      <c r="CC76" s="129">
        <f>IF(H$5&lt;62,0,IF(G59="G",0,IF(G59="C",0,IF(G59="M",0,IF(G59="K",0,IF(AND(OR($H$11="FULL",$H$11="AUTO"),G59="D"),0,61))))))</f>
        <v>0</v>
      </c>
      <c r="CD76" s="128" t="str">
        <f>IF($H$11="NONE","ENTER CIRCUIT #61 LOAD IDENTIFIER  ( G, C, M, K )","ENTER CIRCUIT #61 LOAD IDENTIFIER  ( G, D, C, M, K )")</f>
        <v>ENTER CIRCUIT #61 LOAD IDENTIFIER  ( G, D, C, M, K )</v>
      </c>
      <c r="CE76" s="129">
        <f>IF(SUM(CE$46:CE75)=0,CF76,0)</f>
        <v>0</v>
      </c>
      <c r="CF76" s="129">
        <f>IF(H$5&lt;62,0,IF(ISBLANK(F59)=TRUE,61,IF(F59=" ",0,IF(F59="H",0,61))))</f>
        <v>0</v>
      </c>
      <c r="CG76" s="128" t="s">
        <v>327</v>
      </c>
      <c r="CH76" s="129">
        <f>IF(SUM(CH$46:CH75)=0,CI76,0)</f>
        <v>0</v>
      </c>
      <c r="CI76" s="132">
        <f>IF($H$5&lt;62,0,IF(ISBLANK($E59)=TRUE,61,IF($E59="N",0,IF($E59=" ",0,61))))</f>
        <v>0</v>
      </c>
      <c r="CJ76" s="128" t="s">
        <v>463</v>
      </c>
      <c r="CK76" s="128"/>
      <c r="CL76" s="128"/>
      <c r="CM76" s="128"/>
      <c r="CN76" s="128"/>
      <c r="CO76" s="128"/>
      <c r="CP76" s="128"/>
      <c r="CQ76" s="37"/>
      <c r="CX76" s="57">
        <f t="shared" si="53"/>
        <v>1000.00001</v>
      </c>
      <c r="CY76" s="57"/>
      <c r="CZ76" s="57">
        <v>1200</v>
      </c>
      <c r="DA76" s="57" t="str">
        <f t="shared" si="51"/>
        <v>#250</v>
      </c>
      <c r="DB76" s="57">
        <f t="shared" si="51"/>
        <v>14</v>
      </c>
      <c r="DC76" s="57"/>
      <c r="DD76" s="57">
        <v>1200</v>
      </c>
      <c r="DE76" s="57" t="s">
        <v>101</v>
      </c>
      <c r="DF76" s="57">
        <v>12</v>
      </c>
      <c r="DG76" s="57" t="s">
        <v>106</v>
      </c>
      <c r="DH76" s="57">
        <v>14</v>
      </c>
      <c r="DI76" s="27"/>
      <c r="DJ76" s="27"/>
      <c r="DK76" s="27"/>
      <c r="DL76" s="27"/>
      <c r="DN76" s="22"/>
      <c r="DV76" s="83" t="s">
        <v>489</v>
      </c>
      <c r="DW76" s="27">
        <f>VLOOKUP(DW45,DW58:DX73,2)</f>
        <v>5.0700000000000002E-2</v>
      </c>
      <c r="DX76" s="27" t="s">
        <v>17</v>
      </c>
      <c r="DY76" s="27">
        <v>2</v>
      </c>
      <c r="DZ76" s="27">
        <f>IF(AND($H$8="3D",$H$10="FULL"),1,IF(AND($H$8="3D",DW76=DW78),1,IF($H$8="3Y",1,0)))</f>
        <v>0</v>
      </c>
      <c r="EA76" s="27">
        <f>IF(AND($H$11="AUTO",DW76&lt;&gt;DW80),0,IF($H$11="NONE",0,1))</f>
        <v>1</v>
      </c>
      <c r="EB76" s="27">
        <f>SUM(DY76:EA76)</f>
        <v>3</v>
      </c>
      <c r="EC76" s="27" t="s">
        <v>135</v>
      </c>
      <c r="ED76" s="27">
        <f>DW76*EB76</f>
        <v>0.15210000000000001</v>
      </c>
      <c r="EE76" s="27">
        <f>DW76</f>
        <v>5.0700000000000002E-2</v>
      </c>
      <c r="EF76" s="75">
        <f>IF(MAX(EE$76:EE$82)=EE76,0,1)</f>
        <v>0</v>
      </c>
      <c r="EG76" s="22">
        <v>1</v>
      </c>
      <c r="EH76" s="22" t="str">
        <f>VLOOKUP(DW45,DW58:DZ73,4)</f>
        <v>#6</v>
      </c>
      <c r="EJ76" s="62" t="s">
        <v>114</v>
      </c>
      <c r="EK76" s="62">
        <v>17</v>
      </c>
      <c r="EL76" s="63">
        <f t="shared" si="48"/>
        <v>5.2900000000000003E-2</v>
      </c>
      <c r="EM76" s="63">
        <v>3.2099999999999997E-2</v>
      </c>
      <c r="EN76" s="63">
        <v>5.2900000000000003E-2</v>
      </c>
      <c r="EO76" s="22"/>
      <c r="EP76" s="22"/>
      <c r="EQ76" s="22"/>
      <c r="ER76" s="22"/>
      <c r="ES76" s="22"/>
      <c r="FH76" s="425">
        <v>9</v>
      </c>
      <c r="FI76" s="425" t="s">
        <v>87</v>
      </c>
      <c r="FJ76" s="425" t="s">
        <v>76</v>
      </c>
      <c r="FW76" s="371" t="s">
        <v>585</v>
      </c>
      <c r="FX76" s="27">
        <f>VLOOKUP(FX45,FX58:FY73,2)</f>
        <v>5.0700000000000002E-2</v>
      </c>
      <c r="FY76" s="27" t="s">
        <v>17</v>
      </c>
      <c r="FZ76" s="27">
        <f>IF(FY51&gt;1,2,0)</f>
        <v>2</v>
      </c>
      <c r="GA76" s="27">
        <f>IF(FY51=3,1,0)</f>
        <v>0</v>
      </c>
      <c r="GB76" s="27"/>
      <c r="GC76" s="27">
        <f>SUM(FZ76:GB76)</f>
        <v>2</v>
      </c>
      <c r="GD76" s="27" t="s">
        <v>135</v>
      </c>
      <c r="GE76" s="27">
        <f>FX76*GC76</f>
        <v>0.1014</v>
      </c>
      <c r="GF76" s="27">
        <f>FX76</f>
        <v>5.0700000000000002E-2</v>
      </c>
      <c r="GG76" s="75">
        <f>IF(GF82=0,0,IF(GF82=GF76,0,1))</f>
        <v>1</v>
      </c>
      <c r="GH76" s="22">
        <v>1</v>
      </c>
      <c r="GI76" s="22" t="str">
        <f>VLOOKUP(FX45,FX58:GA73,4)</f>
        <v>#6</v>
      </c>
      <c r="GK76" s="62" t="s">
        <v>114</v>
      </c>
      <c r="GL76" s="62">
        <v>17</v>
      </c>
      <c r="GM76" s="63">
        <f t="shared" si="50"/>
        <v>5.2900000000000003E-2</v>
      </c>
      <c r="GN76" s="63">
        <v>3.2099999999999997E-2</v>
      </c>
      <c r="GO76" s="63">
        <v>5.2900000000000003E-2</v>
      </c>
      <c r="GP76" s="22"/>
      <c r="GQ76" s="22"/>
      <c r="GR76" s="22"/>
      <c r="GS76" s="22"/>
      <c r="GT76" s="22"/>
    </row>
    <row r="77" spans="1:207" ht="14.1" hidden="1" customHeight="1">
      <c r="AU77" s="137">
        <f>MAX(AT29:AU70)</f>
        <v>0</v>
      </c>
      <c r="AW77" s="137">
        <f>MAX(AV29:AW70)</f>
        <v>0</v>
      </c>
      <c r="AY77" s="137">
        <f>MAX(AX29:AY70)</f>
        <v>0</v>
      </c>
      <c r="BA77" s="133"/>
      <c r="BB77" s="133"/>
      <c r="BC77" s="133"/>
      <c r="BD77" s="133"/>
      <c r="BE77" s="133"/>
      <c r="BF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44"/>
      <c r="BV77" s="133"/>
      <c r="BW77" s="133"/>
      <c r="BY77" s="130"/>
      <c r="BZ77" s="136"/>
      <c r="CA77" s="128">
        <f t="shared" si="52"/>
        <v>63</v>
      </c>
      <c r="CB77" s="129">
        <f>IF(SUM(CB$46:CB76)=0,CC77,0)</f>
        <v>0</v>
      </c>
      <c r="CC77" s="129">
        <f>IF(H$5&lt;64,0,IF(G60="G",0,IF(G60="C",0,IF(G60="M",0,IF(G60="K",0,IF(AND(OR($H$11="FULL",$H$11="AUTO"),OR($H$8=1,$H$8="3Y"),G60="D"),0,63))))))</f>
        <v>0</v>
      </c>
      <c r="CD77" s="128" t="str">
        <f>IF($H$11="NONE","ENTER CIRCUIT #63 LOAD IDENTIFIER  ( G, C, M, K )",IF($H$8="3D","ENTER CIRCUIT #63 LOAD IDENTIFIER  ( G, C, M, K )","ENTER CIRCUIT #63 LOAD IDENTIFIER  ( G, D, C, M, K )"))</f>
        <v>ENTER CIRCUIT #63 LOAD IDENTIFIER  ( G, D, C, M, K )</v>
      </c>
      <c r="CE77" s="129">
        <f>IF(SUM(CE$46:CE76)=0,CF77,0)</f>
        <v>0</v>
      </c>
      <c r="CF77" s="129">
        <f>IF(H$5&lt;64,0,IF(ISBLANK(F60)=TRUE,63,IF(F60=" ",0,IF(F60="H",0,63))))</f>
        <v>0</v>
      </c>
      <c r="CG77" s="128" t="s">
        <v>328</v>
      </c>
      <c r="CH77" s="129">
        <f>IF(SUM(CH$46:CH76)=0,CI77,0)</f>
        <v>0</v>
      </c>
      <c r="CI77" s="132">
        <f>IF($H$5&lt;64,0,IF(ISBLANK($E60)=TRUE,63,IF($E60=" ",0,IF(AND($H$8&lt;&gt;"3D",$E60="N"),0,63))))</f>
        <v>0</v>
      </c>
      <c r="CJ77" s="128" t="str">
        <f>IF($H$8&lt;&gt;"3D","ENTER CIRCUIT #63 NEUTRAL IDENTIFIER  ( N or SPACE )","ENTER CIRCUIT #63 NEUTRAL IDENTIFIER  ( SPACE )")</f>
        <v>ENTER CIRCUIT #63 NEUTRAL IDENTIFIER  ( N or SPACE )</v>
      </c>
      <c r="CK77" s="128"/>
      <c r="CL77" s="128"/>
      <c r="CM77" s="128"/>
      <c r="CN77" s="128"/>
      <c r="CO77" s="128"/>
      <c r="CP77" s="128"/>
      <c r="CQ77" s="37"/>
      <c r="CX77" s="73" t="s">
        <v>149</v>
      </c>
      <c r="CY77" s="79" t="s">
        <v>149</v>
      </c>
      <c r="CZ77" s="79" t="s">
        <v>149</v>
      </c>
      <c r="DA77" s="70" t="s">
        <v>149</v>
      </c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N77" s="22"/>
      <c r="DV77" s="83" t="s">
        <v>490</v>
      </c>
      <c r="DW77" s="27">
        <f>CZ55</f>
        <v>5</v>
      </c>
      <c r="DX77" s="27"/>
      <c r="DY77" s="27"/>
      <c r="DZ77" s="27"/>
      <c r="EA77" s="27"/>
      <c r="EB77" s="27"/>
      <c r="EC77" s="27"/>
      <c r="ED77" s="27"/>
      <c r="EE77" s="27"/>
      <c r="EF77" s="75"/>
      <c r="EG77" s="22"/>
      <c r="EH77" s="22"/>
      <c r="EJ77" s="57" t="s">
        <v>116</v>
      </c>
      <c r="EK77" s="57">
        <v>18</v>
      </c>
      <c r="EL77" s="67">
        <f t="shared" si="48"/>
        <v>4.24E-2</v>
      </c>
      <c r="EM77" s="67">
        <v>2.58E-2</v>
      </c>
      <c r="EN77" s="67">
        <v>4.24E-2</v>
      </c>
      <c r="EO77" s="22"/>
      <c r="EP77" s="22"/>
      <c r="EQ77" s="22"/>
      <c r="ER77" s="22"/>
      <c r="ES77" s="22"/>
      <c r="FH77" s="425">
        <v>10</v>
      </c>
      <c r="FI77" s="425" t="s">
        <v>93</v>
      </c>
      <c r="FJ77" s="425" t="s">
        <v>76</v>
      </c>
      <c r="FW77" s="371"/>
      <c r="FX77" s="27"/>
      <c r="FY77" s="27"/>
      <c r="FZ77" s="27"/>
      <c r="GA77" s="27"/>
      <c r="GB77" s="27"/>
      <c r="GC77" s="27"/>
      <c r="GD77" s="27"/>
      <c r="GE77" s="27"/>
      <c r="GF77" s="27"/>
      <c r="GG77" s="75"/>
      <c r="GH77" s="22"/>
      <c r="GI77" s="22"/>
      <c r="GK77" s="57" t="s">
        <v>116</v>
      </c>
      <c r="GL77" s="57">
        <v>18</v>
      </c>
      <c r="GM77" s="67">
        <f t="shared" si="50"/>
        <v>4.24E-2</v>
      </c>
      <c r="GN77" s="67">
        <v>2.58E-2</v>
      </c>
      <c r="GO77" s="67">
        <v>4.24E-2</v>
      </c>
      <c r="GP77" s="22"/>
      <c r="GQ77" s="22"/>
      <c r="GR77" s="22"/>
      <c r="GS77" s="22"/>
      <c r="GT77" s="22"/>
    </row>
    <row r="78" spans="1:207" ht="14.1" hidden="1" customHeight="1">
      <c r="AK78" s="261">
        <f>SUM(AG76:AK76)</f>
        <v>0</v>
      </c>
      <c r="AM78" s="145" t="s">
        <v>189</v>
      </c>
      <c r="AN78" s="145"/>
      <c r="AO78" s="145"/>
      <c r="AP78" s="145"/>
      <c r="AQ78" s="145"/>
      <c r="AU78" s="133" t="s">
        <v>193</v>
      </c>
      <c r="AV78" s="133" t="s">
        <v>238</v>
      </c>
      <c r="AW78" s="126">
        <f>MAX(AU76:AY76)</f>
        <v>0</v>
      </c>
      <c r="BA78" s="133"/>
      <c r="BB78" s="133"/>
      <c r="BC78" s="133"/>
      <c r="BD78" s="133"/>
      <c r="BE78" s="133" t="s">
        <v>232</v>
      </c>
      <c r="BF78" s="133"/>
      <c r="BI78" s="140">
        <f>MAX(BG76:BI76)</f>
        <v>0</v>
      </c>
      <c r="BK78" s="133"/>
      <c r="BL78" s="133"/>
      <c r="BM78" s="140">
        <f>MAX(BK76:BM76)</f>
        <v>0</v>
      </c>
      <c r="BN78" s="133"/>
      <c r="BO78" s="133"/>
      <c r="BP78" s="133"/>
      <c r="BQ78" s="133"/>
      <c r="BR78" s="133"/>
      <c r="BS78" s="140">
        <f>MAX(BO76:BS76)</f>
        <v>0</v>
      </c>
      <c r="BT78" s="133"/>
      <c r="BU78" s="144"/>
      <c r="BV78" s="133"/>
      <c r="BW78" s="133"/>
      <c r="BY78" s="130"/>
      <c r="BZ78" s="136"/>
      <c r="CA78" s="128">
        <f t="shared" si="52"/>
        <v>65</v>
      </c>
      <c r="CB78" s="129">
        <f>IF(SUM(CB$46:CB77)=0,CC78,0)</f>
        <v>0</v>
      </c>
      <c r="CC78" s="129">
        <f>IF(H$5&lt;66,0,IF(G61="G",0,IF(G61="C",0,IF(G61="M",0,IF(G61="K",0,IF(AND(OR($H$11="FULL",$H$11="AUTO"),G61="D"),0,65))))))</f>
        <v>0</v>
      </c>
      <c r="CD78" s="128" t="str">
        <f>IF($H$11="NONE","ENTER CIRCUIT #65 LOAD IDENTIFIER  ( G, C, M, K )","ENTER CIRCUIT #65 LOAD IDENTIFIER  ( G, D, C, M, K )")</f>
        <v>ENTER CIRCUIT #65 LOAD IDENTIFIER  ( G, D, C, M, K )</v>
      </c>
      <c r="CE78" s="129">
        <f>IF(SUM(CE$46:CE77)=0,CF78,0)</f>
        <v>0</v>
      </c>
      <c r="CF78" s="129">
        <f>IF(H$5&lt;66,0,IF(ISBLANK(F61)=TRUE,65,IF(F61=" ",0,IF(F61="H",0,65))))</f>
        <v>0</v>
      </c>
      <c r="CG78" s="128" t="s">
        <v>329</v>
      </c>
      <c r="CH78" s="129">
        <f>IF(SUM(CH$46:CH77)=0,CI78,0)</f>
        <v>0</v>
      </c>
      <c r="CI78" s="132">
        <f>IF($H$5&lt;66,0,IF(ISBLANK($E61)=TRUE,65,IF($E61="N",0,IF($E61=" ",0,65))))</f>
        <v>0</v>
      </c>
      <c r="CJ78" s="128" t="s">
        <v>464</v>
      </c>
      <c r="CK78" s="128"/>
      <c r="CL78" s="128"/>
      <c r="CM78" s="128"/>
      <c r="CN78" s="128"/>
      <c r="CO78" s="128"/>
      <c r="CP78" s="128"/>
      <c r="CQ78" s="37"/>
      <c r="CX78" s="74" t="s">
        <v>34</v>
      </c>
      <c r="CY78" s="27" t="s">
        <v>68</v>
      </c>
      <c r="CZ78" s="27" t="s">
        <v>68</v>
      </c>
      <c r="DA78" s="75" t="s">
        <v>68</v>
      </c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N78" s="22"/>
      <c r="DV78" s="83" t="s">
        <v>491</v>
      </c>
      <c r="DW78" s="27">
        <f>VLOOKUP(DW77,DW58:DX73,2)</f>
        <v>5.0700000000000002E-2</v>
      </c>
      <c r="DX78" s="27" t="s">
        <v>17</v>
      </c>
      <c r="DY78" s="27"/>
      <c r="DZ78" s="27">
        <f>IF(AND($H$8="3D",$H$10="AUTO",DW76&lt;&gt;DW78),1,0)</f>
        <v>0</v>
      </c>
      <c r="EA78" s="27"/>
      <c r="EB78" s="27">
        <f>SUM(DY78:EA78)</f>
        <v>0</v>
      </c>
      <c r="EC78" s="27" t="s">
        <v>135</v>
      </c>
      <c r="ED78" s="27">
        <f>DW78*EB78</f>
        <v>0</v>
      </c>
      <c r="EE78" s="27">
        <f>DW78</f>
        <v>5.0700000000000002E-2</v>
      </c>
      <c r="EF78" s="75">
        <f>IF(MAX(EE$76:EE$82)=EE78,0,1)</f>
        <v>0</v>
      </c>
      <c r="EG78" s="22">
        <v>3</v>
      </c>
      <c r="EH78" s="22" t="str">
        <f>VLOOKUP(DW77,DW58:DZ73,4)</f>
        <v>#6</v>
      </c>
      <c r="EJ78" s="24" t="s">
        <v>176</v>
      </c>
      <c r="EK78" s="22">
        <f>VLOOKUP(EK60,EK61:EL77,1)</f>
        <v>5</v>
      </c>
      <c r="EL78" s="22">
        <f>VLOOKUP(EL60,EK61:EL77,1)</f>
        <v>5</v>
      </c>
      <c r="EM78" s="22">
        <f>VLOOKUP(EM60,EK61:EL77,1)</f>
        <v>5</v>
      </c>
      <c r="EN78" s="22">
        <f>VLOOKUP(EN60,EK61:EL77,1)</f>
        <v>5</v>
      </c>
      <c r="EO78" s="22"/>
      <c r="EP78" s="22"/>
      <c r="EQ78" s="22"/>
      <c r="ER78" s="22"/>
      <c r="ES78" s="22"/>
      <c r="ET78" s="22"/>
      <c r="EU78" s="22"/>
      <c r="EV78" s="22"/>
      <c r="FH78" s="425">
        <v>11</v>
      </c>
      <c r="FI78" s="425" t="s">
        <v>97</v>
      </c>
      <c r="FJ78" s="425" t="s">
        <v>80</v>
      </c>
      <c r="FW78" s="371"/>
      <c r="FX78" s="27"/>
      <c r="FY78" s="27"/>
      <c r="FZ78" s="27"/>
      <c r="GA78" s="27"/>
      <c r="GB78" s="27"/>
      <c r="GC78" s="27"/>
      <c r="GD78" s="27"/>
      <c r="GE78" s="27"/>
      <c r="GF78" s="27"/>
      <c r="GG78" s="75"/>
      <c r="GH78" s="22"/>
      <c r="GI78" s="22"/>
      <c r="GK78" s="24" t="s">
        <v>176</v>
      </c>
      <c r="GL78" s="22">
        <f>VLOOKUP(GL60,GL61:GM77,1)</f>
        <v>5</v>
      </c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</row>
    <row r="79" spans="1:207" ht="14.1" hidden="1" customHeight="1">
      <c r="Y79" s="140">
        <f>W76+X76+Y76</f>
        <v>0</v>
      </c>
      <c r="AE79" s="140">
        <f>SUM(AA76:AE76)</f>
        <v>0</v>
      </c>
      <c r="AM79" s="145" t="s">
        <v>236</v>
      </c>
      <c r="AN79" s="145"/>
      <c r="AO79" s="145"/>
      <c r="AP79" s="145"/>
      <c r="AQ79" s="145"/>
      <c r="AV79" s="126" t="s">
        <v>17</v>
      </c>
      <c r="AW79" s="133">
        <v>3</v>
      </c>
      <c r="AY79" s="133" t="s">
        <v>232</v>
      </c>
      <c r="BA79" s="133"/>
      <c r="BB79" s="133"/>
      <c r="BC79" s="133"/>
      <c r="BD79" s="133"/>
      <c r="BE79" s="133" t="s">
        <v>243</v>
      </c>
      <c r="BF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Y79" s="130"/>
      <c r="BZ79" s="136"/>
      <c r="CA79" s="128">
        <f t="shared" si="52"/>
        <v>67</v>
      </c>
      <c r="CB79" s="129">
        <f>IF(SUM(CB$46:CB78)=0,CC79,0)</f>
        <v>0</v>
      </c>
      <c r="CC79" s="129">
        <f>IF(H$5&lt;68,0,IF(G62="G",0,IF(G62="C",0,IF(G62="M",0,IF(G62="K",0,IF(AND(OR($H$11="FULL",$H$11="AUTO"),G62="D"),0,67))))))</f>
        <v>0</v>
      </c>
      <c r="CD79" s="128" t="str">
        <f>IF($H$11="NONE","ENTER CIRCUIT #67 LOAD IDENTIFIER  ( G, C, M, K )","ENTER CIRCUIT #67 LOAD IDENTIFIER  ( G, D, C, M, K )")</f>
        <v>ENTER CIRCUIT #67 LOAD IDENTIFIER  ( G, D, C, M, K )</v>
      </c>
      <c r="CE79" s="129">
        <f>IF(SUM(CE$46:CE78)=0,CF79,0)</f>
        <v>0</v>
      </c>
      <c r="CF79" s="129">
        <f>IF(H$5&lt;68,0,IF(ISBLANK(F62)=TRUE,67,IF(F62=" ",0,IF(F62="H",0,67))))</f>
        <v>0</v>
      </c>
      <c r="CG79" s="128" t="s">
        <v>330</v>
      </c>
      <c r="CH79" s="129">
        <f>IF(SUM(CH$46:CH78)=0,CI79,0)</f>
        <v>0</v>
      </c>
      <c r="CI79" s="132">
        <f>IF($H$5&lt;68,0,IF(ISBLANK($E62)=TRUE,67,IF($E62="N",0,IF($E62=" ",0,67))))</f>
        <v>0</v>
      </c>
      <c r="CJ79" s="128" t="s">
        <v>465</v>
      </c>
      <c r="CK79" s="128"/>
      <c r="CL79" s="128"/>
      <c r="CM79" s="128"/>
      <c r="CN79" s="128"/>
      <c r="CO79" s="128"/>
      <c r="CP79" s="128"/>
      <c r="CQ79" s="37"/>
      <c r="CX79" s="74" t="s">
        <v>193</v>
      </c>
      <c r="CY79" s="27" t="s">
        <v>38</v>
      </c>
      <c r="CZ79" s="27" t="s">
        <v>38</v>
      </c>
      <c r="DA79" s="75" t="s">
        <v>73</v>
      </c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N79" s="22"/>
      <c r="DV79" s="83" t="s">
        <v>492</v>
      </c>
      <c r="DW79" s="27">
        <f>CZ56</f>
        <v>5</v>
      </c>
      <c r="DX79" s="27"/>
      <c r="DY79" s="27"/>
      <c r="DZ79" s="27"/>
      <c r="EA79" s="27"/>
      <c r="EB79" s="27"/>
      <c r="EC79" s="27"/>
      <c r="ED79" s="27"/>
      <c r="EE79" s="27"/>
      <c r="EF79" s="75"/>
      <c r="EG79" s="22"/>
      <c r="EH79" s="22"/>
      <c r="EJ79" s="24" t="s">
        <v>130</v>
      </c>
      <c r="EK79" s="84">
        <f>VLOOKUP(EK60,EK61:EL77,2)</f>
        <v>0.80800000000000005</v>
      </c>
      <c r="EL79" s="288">
        <f>VLOOKUP(EL60,EK61:EL77,2)</f>
        <v>0.80800000000000005</v>
      </c>
      <c r="EM79" s="86">
        <f>VLOOKUP(EM60,EK61:EL77,2)</f>
        <v>0.80800000000000005</v>
      </c>
      <c r="EN79" s="22">
        <f>VLOOKUP(EN60,EK61:EL77,2)</f>
        <v>0.80800000000000005</v>
      </c>
      <c r="EO79" s="22"/>
      <c r="EP79" s="22"/>
      <c r="EQ79" s="22"/>
      <c r="ER79" s="22"/>
      <c r="ES79" s="22"/>
      <c r="ET79" s="22"/>
      <c r="EU79" s="22"/>
      <c r="EV79" s="22"/>
      <c r="FH79" s="425">
        <v>12</v>
      </c>
      <c r="FI79" s="425" t="s">
        <v>101</v>
      </c>
      <c r="FJ79" s="425" t="s">
        <v>80</v>
      </c>
      <c r="FW79" s="371"/>
      <c r="FX79" s="27"/>
      <c r="FY79" s="27"/>
      <c r="FZ79" s="27"/>
      <c r="GA79" s="27"/>
      <c r="GB79" s="27"/>
      <c r="GC79" s="27"/>
      <c r="GD79" s="27"/>
      <c r="GE79" s="27"/>
      <c r="GF79" s="27"/>
      <c r="GG79" s="75"/>
      <c r="GH79" s="22"/>
      <c r="GI79" s="22"/>
      <c r="GK79" s="24" t="s">
        <v>130</v>
      </c>
      <c r="GL79" s="84">
        <f>VLOOKUP(GL60,GL61:GM77,2)</f>
        <v>0.80800000000000005</v>
      </c>
      <c r="GM79" s="288"/>
      <c r="GN79" s="86"/>
      <c r="GO79" s="22"/>
      <c r="GP79" s="22"/>
      <c r="GQ79" s="22"/>
      <c r="GR79" s="22"/>
      <c r="GS79" s="22"/>
      <c r="GT79" s="22"/>
      <c r="GU79" s="22"/>
      <c r="GV79" s="22"/>
      <c r="GW79" s="22"/>
    </row>
    <row r="80" spans="1:207" ht="14.1" hidden="1" customHeight="1">
      <c r="AM80" s="145">
        <f>AM76</f>
        <v>0</v>
      </c>
      <c r="AN80" s="145"/>
      <c r="AO80" s="145"/>
      <c r="AP80" s="145"/>
      <c r="AQ80" s="145"/>
      <c r="AW80" s="140">
        <f>AW78*AW79</f>
        <v>0</v>
      </c>
      <c r="AY80" s="133" t="s">
        <v>63</v>
      </c>
      <c r="BA80" s="133"/>
      <c r="BB80" s="133"/>
      <c r="BC80" s="133"/>
      <c r="BD80" s="133"/>
      <c r="BE80" s="133" t="s">
        <v>65</v>
      </c>
      <c r="BF80" s="133"/>
      <c r="BK80" s="133"/>
      <c r="BL80" s="133"/>
      <c r="BM80" s="133"/>
      <c r="BN80" s="133"/>
      <c r="BO80" s="133"/>
      <c r="BP80" s="133"/>
      <c r="BQ80" s="133" t="s">
        <v>839</v>
      </c>
      <c r="BR80" s="133"/>
      <c r="BS80" s="228">
        <f>IF(H8=1,BM78,IF(H8="3D",BI78,IF(H8="3Y",BS78)))</f>
        <v>0</v>
      </c>
      <c r="BT80" s="133"/>
      <c r="BU80" s="133"/>
      <c r="BV80" s="133"/>
      <c r="BW80" s="133"/>
      <c r="BY80" s="130"/>
      <c r="BZ80" s="136"/>
      <c r="CA80" s="128">
        <f t="shared" si="52"/>
        <v>69</v>
      </c>
      <c r="CB80" s="129">
        <f>IF(SUM(CB$46:CB79)=0,CC80,0)</f>
        <v>0</v>
      </c>
      <c r="CC80" s="129">
        <f>IF(H$5&lt;70,0,IF(G63="G",0,IF(G63="C",0,IF(G63="M",0,IF(G63="K",0,IF(AND(OR($H$11="FULL",$H$11="AUTO"),OR($H$8=1,$H$8="3Y"),G63="D"),0,69))))))</f>
        <v>0</v>
      </c>
      <c r="CD80" s="128" t="str">
        <f>IF($H$11="NONE","ENTER CIRCUIT #69 LOAD IDENTIFIER  ( G, C, M, K )",IF($H$8="3D","ENTER CIRCUIT #69 LOAD IDENTIFIER  ( G, C, M, K )","ENTER CIRCUIT #69 LOAD IDENTIFIER  ( G, D, C, M, K )"))</f>
        <v>ENTER CIRCUIT #69 LOAD IDENTIFIER  ( G, D, C, M, K )</v>
      </c>
      <c r="CE80" s="129">
        <f>IF(SUM(CE$46:CE79)=0,CF80,0)</f>
        <v>0</v>
      </c>
      <c r="CF80" s="129">
        <f>IF(H$5&lt;70,0,IF(ISBLANK(F63)=TRUE,69,IF(F63=" ",0,IF(F63="H",0,69))))</f>
        <v>0</v>
      </c>
      <c r="CG80" s="128" t="s">
        <v>331</v>
      </c>
      <c r="CH80" s="129">
        <f>IF(SUM(CH$46:CH79)=0,CI80,0)</f>
        <v>0</v>
      </c>
      <c r="CI80" s="132">
        <f>IF($H$5&lt;70,0,IF(ISBLANK($E63)=TRUE,69,IF($E63=" ",0,IF(AND($H$8&lt;&gt;"3D",$E63="N"),0,69))))</f>
        <v>0</v>
      </c>
      <c r="CJ80" s="128" t="str">
        <f>IF($H$8&lt;&gt;"3D","ENTER CIRCUIT #69 NEUTRAL IDENTIFIER  ( N or SPACE )","ENTER CIRCUIT #69 NEUTRAL IDENTIFIER  ( SPACE )")</f>
        <v>ENTER CIRCUIT #69 NEUTRAL IDENTIFIER  ( N or SPACE )</v>
      </c>
      <c r="CK80" s="128"/>
      <c r="CL80" s="128"/>
      <c r="CM80" s="128"/>
      <c r="CN80" s="128"/>
      <c r="CO80" s="128"/>
      <c r="CP80" s="128"/>
      <c r="CQ80" s="37"/>
      <c r="CX80" s="74" t="s">
        <v>194</v>
      </c>
      <c r="CY80" s="27" t="s">
        <v>74</v>
      </c>
      <c r="CZ80" s="27" t="s">
        <v>7</v>
      </c>
      <c r="DA80" s="75" t="s">
        <v>21</v>
      </c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N80" s="22"/>
      <c r="DV80" s="83" t="s">
        <v>493</v>
      </c>
      <c r="DW80" s="27">
        <f>IF(H11="NONE",0,VLOOKUP(DW79,DW58:DX73,2))</f>
        <v>5.0700000000000002E-2</v>
      </c>
      <c r="DX80" s="27" t="s">
        <v>17</v>
      </c>
      <c r="DY80" s="27"/>
      <c r="DZ80" s="27"/>
      <c r="EA80" s="27">
        <f>IF(AND($H$11="AUTO",DW76&lt;&gt;DW80),1,IF($H$11="NONE",0,0))</f>
        <v>0</v>
      </c>
      <c r="EB80" s="27">
        <f>SUM(DY80:EA80)</f>
        <v>0</v>
      </c>
      <c r="EC80" s="27" t="s">
        <v>135</v>
      </c>
      <c r="ED80" s="27">
        <f>IF($H$11="NONE",0,DW80*EB80)</f>
        <v>0</v>
      </c>
      <c r="EE80" s="27">
        <f>IF($H$11="NONE",0,DW80)</f>
        <v>5.0700000000000002E-2</v>
      </c>
      <c r="EF80" s="75">
        <f>IF($H$11="NONE",0,IF(MAX(EE$76:EE$82)=EE80,0,3))</f>
        <v>0</v>
      </c>
      <c r="EG80" s="22">
        <v>4</v>
      </c>
      <c r="EH80" s="22" t="str">
        <f>IF(H11="NONE","",VLOOKUP(DW79,DW58:DZ73,4))</f>
        <v>#6</v>
      </c>
      <c r="EJ80" s="24" t="s">
        <v>196</v>
      </c>
      <c r="EK80" s="290">
        <f>EK57</f>
        <v>0</v>
      </c>
      <c r="EL80" s="293">
        <f>EL57</f>
        <v>0</v>
      </c>
      <c r="EM80" s="293">
        <f>EM57</f>
        <v>0</v>
      </c>
      <c r="EN80" s="22">
        <f>EN57</f>
        <v>0</v>
      </c>
      <c r="EO80" s="22"/>
      <c r="EP80" s="22"/>
      <c r="EQ80" s="22"/>
      <c r="ER80" s="22"/>
      <c r="ES80" s="22"/>
      <c r="ET80" s="22"/>
      <c r="EU80" s="22"/>
      <c r="EV80" s="22"/>
      <c r="FH80" s="425">
        <v>13</v>
      </c>
      <c r="FI80" s="425" t="s">
        <v>103</v>
      </c>
      <c r="FJ80" s="425" t="s">
        <v>83</v>
      </c>
      <c r="FW80" s="371"/>
      <c r="FX80" s="27"/>
      <c r="FY80" s="27"/>
      <c r="FZ80" s="27"/>
      <c r="GA80" s="27"/>
      <c r="GB80" s="27"/>
      <c r="GC80" s="27"/>
      <c r="GD80" s="27"/>
      <c r="GE80" s="27"/>
      <c r="GF80" s="27"/>
      <c r="GG80" s="75"/>
      <c r="GH80" s="22"/>
      <c r="GI80" s="22"/>
      <c r="GK80" s="24" t="s">
        <v>196</v>
      </c>
      <c r="GL80" s="290">
        <f>GL57</f>
        <v>0</v>
      </c>
      <c r="GM80" s="293"/>
      <c r="GN80" s="293"/>
      <c r="GO80" s="22"/>
      <c r="GP80" s="22"/>
      <c r="GQ80" s="22"/>
      <c r="GR80" s="22"/>
      <c r="GS80" s="22"/>
      <c r="GT80" s="22"/>
      <c r="GU80" s="22"/>
      <c r="GV80" s="22"/>
      <c r="GW80" s="22"/>
    </row>
    <row r="81" spans="39:207" ht="14.1" hidden="1" customHeight="1">
      <c r="AM81" s="126" t="s">
        <v>237</v>
      </c>
      <c r="AY81" s="133" t="s">
        <v>65</v>
      </c>
      <c r="BA81" s="133"/>
      <c r="BB81" s="133"/>
      <c r="BC81" s="133"/>
      <c r="BD81" s="133"/>
      <c r="BE81" s="140">
        <f>SUM(BA29:BF70)</f>
        <v>0</v>
      </c>
      <c r="BF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Y81" s="130"/>
      <c r="BZ81" s="136"/>
      <c r="CA81" s="128">
        <f t="shared" si="52"/>
        <v>71</v>
      </c>
      <c r="CB81" s="129">
        <f>IF(SUM(CB$46:CB80)=0,CC81,0)</f>
        <v>0</v>
      </c>
      <c r="CC81" s="129">
        <f>IF(H$5&lt;72,0,IF(G64="G",0,IF(G64="C",0,IF(G64="M",0,IF(G64="K",0,IF(AND(OR($H$11="FULL",$H$11="AUTO"),G64="D"),0,71))))))</f>
        <v>0</v>
      </c>
      <c r="CD81" s="128" t="str">
        <f>IF($H$11="NONE","ENTER CIRCUIT #71 LOAD IDENTIFIER  ( G, C, M, K )","ENTER CIRCUIT #71 LOAD IDENTIFIER  ( G, D, C, M, K )")</f>
        <v>ENTER CIRCUIT #71 LOAD IDENTIFIER  ( G, D, C, M, K )</v>
      </c>
      <c r="CE81" s="129">
        <f>IF(SUM(CE$46:CE80)=0,CF81,0)</f>
        <v>0</v>
      </c>
      <c r="CF81" s="129">
        <f>IF(H$5&lt;72,0,IF(ISBLANK(F64)=TRUE,71,IF(F64=" ",0,IF(F64="H",0,71))))</f>
        <v>0</v>
      </c>
      <c r="CG81" s="128" t="s">
        <v>332</v>
      </c>
      <c r="CH81" s="129">
        <f>IF(SUM(CH$46:CH80)=0,CI81,0)</f>
        <v>0</v>
      </c>
      <c r="CI81" s="132">
        <f>IF($H$5&lt;72,0,IF(ISBLANK($E64)=TRUE,71,IF($E64="N",0,IF($E64=" ",0,71))))</f>
        <v>0</v>
      </c>
      <c r="CJ81" s="128" t="s">
        <v>466</v>
      </c>
      <c r="CK81" s="128"/>
      <c r="CL81" s="128"/>
      <c r="CM81" s="128"/>
      <c r="CN81" s="128"/>
      <c r="CO81" s="128"/>
      <c r="CP81" s="128"/>
      <c r="CQ81" s="37"/>
      <c r="CX81" s="76">
        <f>IF(CY60="N",0,VLOOKUP(CY61,CX67:DH76,3))</f>
        <v>60</v>
      </c>
      <c r="CY81" s="81" t="str">
        <f>IF(CY60="N","NONE",VLOOKUP(CY61,CX67:DH76,4))</f>
        <v>#8</v>
      </c>
      <c r="CZ81" s="81">
        <f>IF(CY60="N",0,VLOOKUP(CY61,CX67:DH76,5))</f>
        <v>4</v>
      </c>
      <c r="DA81" s="72">
        <f>IF(CY60="N",0,DA54)</f>
        <v>1</v>
      </c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N81" s="22"/>
      <c r="DV81" s="83" t="s">
        <v>64</v>
      </c>
      <c r="DW81" s="27">
        <f>IF(H13="N",0,VLOOKUP(DW48,DW58:DX73,1))</f>
        <v>4</v>
      </c>
      <c r="DX81" s="27"/>
      <c r="DY81" s="27"/>
      <c r="DZ81" s="27"/>
      <c r="EA81" s="27"/>
      <c r="EB81" s="27"/>
      <c r="EC81" s="27"/>
      <c r="ED81" s="27"/>
      <c r="EE81" s="27"/>
      <c r="EF81" s="75"/>
      <c r="EG81" s="22"/>
      <c r="EH81" s="22"/>
      <c r="EJ81" s="24"/>
      <c r="EK81" s="31"/>
      <c r="EL81" s="85"/>
      <c r="EM81" s="86"/>
      <c r="EN81" s="22"/>
      <c r="EO81" s="22"/>
      <c r="EP81" s="22"/>
      <c r="EQ81" s="22"/>
      <c r="ER81" s="22"/>
      <c r="ES81" s="22"/>
      <c r="ET81" s="22"/>
      <c r="EU81" s="22"/>
      <c r="EV81" s="22"/>
      <c r="FH81" s="425">
        <v>14</v>
      </c>
      <c r="FI81" s="425" t="s">
        <v>106</v>
      </c>
      <c r="FJ81" s="425" t="s">
        <v>83</v>
      </c>
      <c r="FW81" s="371" t="s">
        <v>586</v>
      </c>
      <c r="FX81" s="27">
        <f>FX48</f>
        <v>4</v>
      </c>
      <c r="FY81" s="27"/>
      <c r="FZ81" s="27"/>
      <c r="GA81" s="27"/>
      <c r="GB81" s="27"/>
      <c r="GC81" s="27"/>
      <c r="GD81" s="27"/>
      <c r="GE81" s="27"/>
      <c r="GF81" s="27"/>
      <c r="GG81" s="75"/>
      <c r="GH81" s="22"/>
      <c r="GI81" s="22"/>
      <c r="GK81" s="24"/>
      <c r="GL81" s="31"/>
      <c r="GM81" s="85"/>
      <c r="GN81" s="86"/>
      <c r="GO81" s="22"/>
      <c r="GP81" s="22"/>
      <c r="GQ81" s="22"/>
      <c r="GR81" s="22"/>
      <c r="GS81" s="22"/>
      <c r="GT81" s="22"/>
      <c r="GU81" s="22"/>
      <c r="GV81" s="22"/>
      <c r="GW81" s="22"/>
    </row>
    <row r="82" spans="39:207" ht="14.1" hidden="1" customHeight="1">
      <c r="AM82" s="133" t="str">
        <f>CONCATENATE(AM78,AM79,AM80,AM81)</f>
        <v>CONTINUOUS LOAD 0 VA X .025 =</v>
      </c>
      <c r="AN82" s="133"/>
      <c r="AO82" s="133"/>
      <c r="AP82" s="133"/>
      <c r="AQ82" s="133"/>
      <c r="AV82" s="133" t="s">
        <v>582</v>
      </c>
      <c r="AW82" s="140">
        <f>IF(H8="3Y",ROUND((AY82/H6/1.732),0),ROUND((AY82/H6),0))</f>
        <v>0</v>
      </c>
      <c r="AY82" s="140">
        <f>SUM(AT29:AY70)</f>
        <v>0</v>
      </c>
      <c r="BY82" s="130"/>
      <c r="BZ82" s="136"/>
      <c r="CA82" s="128">
        <f t="shared" si="52"/>
        <v>73</v>
      </c>
      <c r="CB82" s="129">
        <f>IF(SUM(CB$46:CB81)=0,CC82,0)</f>
        <v>0</v>
      </c>
      <c r="CC82" s="129">
        <f>IF(H$5&lt;74,0,IF(G65="G",0,IF(G65="C",0,IF(G65="M",0,IF(G65="K",0,IF(AND(OR($H$11="FULL",$H$11="AUTO"),G65="D"),0,73))))))</f>
        <v>0</v>
      </c>
      <c r="CD82" s="128" t="str">
        <f>IF($H$11="NONE","ENTER CIRCUIT #73 LOAD IDENTIFIER  ( G, C, M, K )","ENTER CIRCUIT #73 LOAD IDENTIFIER  ( G, D, C, M, K )")</f>
        <v>ENTER CIRCUIT #73 LOAD IDENTIFIER  ( G, D, C, M, K )</v>
      </c>
      <c r="CE82" s="129">
        <f>IF(SUM(CE$46:CE81)=0,CF82,0)</f>
        <v>0</v>
      </c>
      <c r="CF82" s="129">
        <f>IF(H$5&lt;74,0,IF(ISBLANK(F65)=TRUE,73,IF(F65=" ",0,IF(F65="H",0,73))))</f>
        <v>0</v>
      </c>
      <c r="CG82" s="128" t="s">
        <v>333</v>
      </c>
      <c r="CH82" s="129">
        <f>IF(SUM(CH$46:CH81)=0,CI82,0)</f>
        <v>0</v>
      </c>
      <c r="CI82" s="132">
        <f>IF($H$5&lt;74,0,IF(ISBLANK($E65)=TRUE,73,IF($E65="N",0,IF($E65=" ",0,73))))</f>
        <v>0</v>
      </c>
      <c r="CJ82" s="128" t="s">
        <v>467</v>
      </c>
      <c r="CK82" s="128"/>
      <c r="CL82" s="128"/>
      <c r="CM82" s="128"/>
      <c r="CN82" s="128"/>
      <c r="CO82" s="128"/>
      <c r="CP82" s="128"/>
      <c r="CQ82" s="37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N82" s="22"/>
      <c r="DV82" s="83" t="s">
        <v>96</v>
      </c>
      <c r="DW82" s="27">
        <f>IF(H13="N",0,VLOOKUP(DW48,DW58:DX73,2))</f>
        <v>3.6600000000000001E-2</v>
      </c>
      <c r="DX82" s="27" t="s">
        <v>17</v>
      </c>
      <c r="DY82" s="27"/>
      <c r="DZ82" s="27"/>
      <c r="EA82" s="27"/>
      <c r="EB82" s="27">
        <f>IF(H13="Y",1,0)</f>
        <v>1</v>
      </c>
      <c r="EC82" s="27" t="s">
        <v>135</v>
      </c>
      <c r="ED82" s="27">
        <f>IF(H13="N",0,DW82*EB82)</f>
        <v>3.6600000000000001E-2</v>
      </c>
      <c r="EE82" s="27">
        <f>IF(H13="N",0,DW82)</f>
        <v>3.6600000000000001E-2</v>
      </c>
      <c r="EF82" s="75">
        <f>IF(H13="N",0,IF(MAX(EE$76:EE$82)=EE82,0,5))</f>
        <v>5</v>
      </c>
      <c r="EG82" s="22">
        <v>0</v>
      </c>
      <c r="EH82" s="22" t="str">
        <f>IF(H13="N",0,VLOOKUP(DW48,DW58:DZ73,4))</f>
        <v>#8</v>
      </c>
      <c r="EJ82" s="24"/>
      <c r="EK82" s="31"/>
      <c r="EL82" s="85"/>
      <c r="EM82" s="86"/>
      <c r="EN82" s="22"/>
      <c r="EO82" s="22"/>
      <c r="EP82" s="22"/>
      <c r="EQ82" s="22"/>
      <c r="ER82" s="22"/>
      <c r="ES82" s="22"/>
      <c r="ET82" s="22"/>
      <c r="EU82" s="22"/>
      <c r="EV82" s="22"/>
      <c r="FH82" s="425">
        <v>15</v>
      </c>
      <c r="FI82" s="425" t="s">
        <v>109</v>
      </c>
      <c r="FJ82" s="425" t="s">
        <v>83</v>
      </c>
      <c r="FW82" s="371" t="s">
        <v>96</v>
      </c>
      <c r="FX82" s="27">
        <f>IF(J13="N",0,VLOOKUP(FX48,FX58:FY73,2))</f>
        <v>3.6600000000000001E-2</v>
      </c>
      <c r="FY82" s="27" t="s">
        <v>17</v>
      </c>
      <c r="FZ82" s="27"/>
      <c r="GA82" s="27"/>
      <c r="GB82" s="27"/>
      <c r="GC82" s="27">
        <f>IF(J13="Y",1,0)</f>
        <v>0</v>
      </c>
      <c r="GD82" s="27" t="s">
        <v>135</v>
      </c>
      <c r="GE82" s="27">
        <f>IF(BC13="N",0,FX82*GC82)</f>
        <v>0</v>
      </c>
      <c r="GF82" s="27">
        <f>IF(BC13="N",0,FX82)</f>
        <v>3.6600000000000001E-2</v>
      </c>
      <c r="GG82" s="75"/>
      <c r="GH82" s="22">
        <v>0</v>
      </c>
      <c r="GI82" s="22" t="str">
        <f>IF(J13="N",0,VLOOKUP(FX48,FX58:GA73,4))</f>
        <v>#8</v>
      </c>
      <c r="GK82" s="24"/>
      <c r="GL82" s="31"/>
      <c r="GM82" s="85"/>
      <c r="GN82" s="86"/>
      <c r="GO82" s="22"/>
      <c r="GP82" s="22"/>
      <c r="GQ82" s="22"/>
      <c r="GR82" s="22"/>
      <c r="GS82" s="22"/>
      <c r="GT82" s="22"/>
      <c r="GU82" s="22"/>
      <c r="GV82" s="22"/>
      <c r="GW82" s="22"/>
    </row>
    <row r="83" spans="39:207" ht="14.1" hidden="1" customHeight="1">
      <c r="AV83" s="133" t="s">
        <v>580</v>
      </c>
      <c r="AW83" s="133">
        <f>IF(H8="3Y",ROUND((AY82/Input!H6/1.732),0),ROUND((AY82/Input!H6),0))</f>
        <v>0</v>
      </c>
      <c r="BQ83" s="151" t="s">
        <v>55</v>
      </c>
      <c r="BR83" s="151">
        <f>IF(H8=1,BK76,IF(H8="3D",BG76,IF(H8="3Y",BO76)))</f>
        <v>0</v>
      </c>
      <c r="BY83" s="130"/>
      <c r="BZ83" s="136"/>
      <c r="CA83" s="128">
        <f t="shared" si="52"/>
        <v>75</v>
      </c>
      <c r="CB83" s="129">
        <f>IF(SUM(CB$46:CB82)=0,CC83,0)</f>
        <v>0</v>
      </c>
      <c r="CC83" s="129">
        <f>IF(H$5&lt;76,0,IF(G66="G",0,IF(G66="C",0,IF(G66="M",0,IF(G66="K",0,IF(AND(OR($H$11="FULL",$H$11="AUTO"),OR($H$8=1,$H$8="3Y"),G66="D"),0,75))))))</f>
        <v>0</v>
      </c>
      <c r="CD83" s="128" t="str">
        <f>IF($H$11="NONE","ENTER CIRCUIT #75 LOAD IDENTIFIER  ( G, C, M, K )",IF($H$8="3D","ENTER CIRCUIT #75 LOAD IDENTIFIER  ( G, C, M, K )","ENTER CIRCUIT #75 LOAD IDENTIFIER  ( G, D, C, M, K )"))</f>
        <v>ENTER CIRCUIT #75 LOAD IDENTIFIER  ( G, D, C, M, K )</v>
      </c>
      <c r="CE83" s="129">
        <f>IF(SUM(CE$46:CE82)=0,CF83,0)</f>
        <v>0</v>
      </c>
      <c r="CF83" s="129">
        <f>IF(H$5&lt;76,0,IF(ISBLANK(F66)=TRUE,75,IF(F66=" ",0,IF(F66="H",0,75))))</f>
        <v>0</v>
      </c>
      <c r="CG83" s="128" t="s">
        <v>334</v>
      </c>
      <c r="CH83" s="129">
        <f>IF(SUM(CH$46:CH82)=0,CI83,0)</f>
        <v>0</v>
      </c>
      <c r="CI83" s="132">
        <f>IF($H$5&lt;76,0,IF(ISBLANK($E66)=TRUE,75,IF($E66=" ",0,IF(AND($H$8&lt;&gt;"3D",$E66="N"),0,75))))</f>
        <v>0</v>
      </c>
      <c r="CJ83" s="128" t="str">
        <f>IF($H$8&lt;&gt;"3D","ENTER CIRCUIT #75 NEUTRAL IDENTIFIER  ( N or SPACE )","ENTER CIRCUIT #75 NEUTRAL IDENTIFIER  ( SPACE )")</f>
        <v>ENTER CIRCUIT #75 NEUTRAL IDENTIFIER  ( N or SPACE )</v>
      </c>
      <c r="CK83" s="128"/>
      <c r="CL83" s="128"/>
      <c r="CM83" s="128"/>
      <c r="CN83" s="128"/>
      <c r="CO83" s="128"/>
      <c r="CP83" s="128"/>
      <c r="CQ83" s="37"/>
      <c r="CV83" s="16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N83" s="22"/>
      <c r="DV83" s="74"/>
      <c r="DW83" s="27"/>
      <c r="DX83" s="27"/>
      <c r="DY83" s="27"/>
      <c r="DZ83" s="27"/>
      <c r="EA83" s="27"/>
      <c r="EB83" s="27"/>
      <c r="EC83" s="27"/>
      <c r="ED83" s="27"/>
      <c r="EE83" s="27"/>
      <c r="EF83" s="75"/>
      <c r="EG83" s="22"/>
      <c r="EH83" s="22"/>
      <c r="EJ83" s="24"/>
      <c r="EK83" s="31"/>
      <c r="EL83" s="85"/>
      <c r="EM83" s="86"/>
      <c r="EN83" s="22"/>
      <c r="EO83" s="22"/>
      <c r="EP83" s="22"/>
      <c r="EQ83" s="22"/>
      <c r="ER83" s="22"/>
      <c r="ES83" s="22"/>
      <c r="ET83" s="22"/>
      <c r="EU83" s="22"/>
      <c r="EV83" s="22"/>
      <c r="FH83" s="425">
        <v>16</v>
      </c>
      <c r="FI83" s="425" t="s">
        <v>112</v>
      </c>
      <c r="FJ83" s="425" t="s">
        <v>83</v>
      </c>
      <c r="FW83" s="372"/>
      <c r="FX83" s="27"/>
      <c r="FY83" s="27"/>
      <c r="FZ83" s="27"/>
      <c r="GA83" s="27"/>
      <c r="GB83" s="27"/>
      <c r="GC83" s="27"/>
      <c r="GD83" s="27"/>
      <c r="GE83" s="27"/>
      <c r="GF83" s="27"/>
      <c r="GG83" s="75"/>
      <c r="GH83" s="22"/>
      <c r="GI83" s="22"/>
      <c r="GK83" s="24"/>
      <c r="GL83" s="31"/>
      <c r="GM83" s="85"/>
      <c r="GN83" s="86"/>
      <c r="GO83" s="22"/>
      <c r="GP83" s="22"/>
      <c r="GQ83" s="22"/>
      <c r="GR83" s="22"/>
      <c r="GS83" s="22"/>
      <c r="GT83" s="22"/>
      <c r="GU83" s="22"/>
      <c r="GV83" s="22"/>
      <c r="GW83" s="22"/>
    </row>
    <row r="84" spans="39:207" ht="14.1" hidden="1" customHeight="1">
      <c r="BQ84" s="151" t="s">
        <v>56</v>
      </c>
      <c r="BR84" s="151">
        <f>IF(H8=1,BM76,IF(H8="3D",0,IF(H8="3Y",BQ76)))</f>
        <v>0</v>
      </c>
      <c r="BY84" s="130"/>
      <c r="BZ84" s="136"/>
      <c r="CA84" s="128">
        <f t="shared" si="52"/>
        <v>77</v>
      </c>
      <c r="CB84" s="129">
        <f>IF(SUM(CB$46:CB83)=0,CC84,0)</f>
        <v>0</v>
      </c>
      <c r="CC84" s="129">
        <f>IF(H$5&lt;78,0,IF(G67="G",0,IF(G67="C",0,IF(G67="M",0,IF(G67="K",0,IF(AND(OR($H$11="FULL",$H$11="AUTO"),G67="D"),0,77))))))</f>
        <v>0</v>
      </c>
      <c r="CD84" s="128" t="str">
        <f>IF($H$11="NONE","ENTER CIRCUIT #77 LOAD IDENTIFIER  ( G, C, M, K )","ENTER CIRCUIT #77 LOAD IDENTIFIER  ( G, D, C, M, K )")</f>
        <v>ENTER CIRCUIT #77 LOAD IDENTIFIER  ( G, D, C, M, K )</v>
      </c>
      <c r="CE84" s="129">
        <f>IF(SUM(CE$46:CE83)=0,CF84,0)</f>
        <v>0</v>
      </c>
      <c r="CF84" s="129">
        <f>IF(H$5&lt;78,0,IF(ISBLANK(F67)=TRUE,77,IF(F67=" ",0,IF(F67="H",0,77))))</f>
        <v>0</v>
      </c>
      <c r="CG84" s="128" t="s">
        <v>335</v>
      </c>
      <c r="CH84" s="129">
        <f>IF(SUM(CH$46:CH83)=0,CI84,0)</f>
        <v>0</v>
      </c>
      <c r="CI84" s="132">
        <f>IF($H$5&lt;78,0,IF(ISBLANK($E67)=TRUE,77,IF($E67="N",0,IF($E67=" ",0,77))))</f>
        <v>0</v>
      </c>
      <c r="CJ84" s="128" t="s">
        <v>468</v>
      </c>
      <c r="CK84" s="128"/>
      <c r="CL84" s="128"/>
      <c r="CM84" s="128"/>
      <c r="CN84" s="128"/>
      <c r="CO84" s="128"/>
      <c r="CP84" s="128"/>
      <c r="CQ84" s="37"/>
      <c r="CW84" s="24"/>
      <c r="CX84" s="24"/>
      <c r="CY84" s="24"/>
      <c r="CZ84" s="24"/>
      <c r="DA84" s="24"/>
      <c r="DB84" s="24"/>
      <c r="DV84" s="71" t="s">
        <v>195</v>
      </c>
      <c r="DW84" s="81"/>
      <c r="DX84" s="81"/>
      <c r="DY84" s="81"/>
      <c r="DZ84" s="81"/>
      <c r="EA84" s="81"/>
      <c r="EB84" s="81">
        <f>SUM(EB75:EB83)</f>
        <v>4</v>
      </c>
      <c r="EC84" s="81"/>
      <c r="ED84" s="81">
        <f>SUM(ED75:ED83)</f>
        <v>0.18870000000000001</v>
      </c>
      <c r="EE84" s="81"/>
      <c r="EF84" s="72">
        <f>SUM(EF75:EF83)</f>
        <v>5</v>
      </c>
      <c r="EG84" s="22">
        <f>SUM(EG75:EG83)</f>
        <v>8</v>
      </c>
      <c r="EH84" s="22"/>
      <c r="EJ84" s="24"/>
      <c r="EK84" s="31"/>
      <c r="EL84" s="85"/>
      <c r="EM84" s="86"/>
      <c r="EN84" s="22"/>
      <c r="EO84" s="22"/>
      <c r="EP84" s="22"/>
      <c r="EQ84" s="22"/>
      <c r="ER84" s="22"/>
      <c r="ES84" s="22" t="str">
        <f>CONCATENATE(ES89,ES90,ES91,ES92,ES93,ES94,ES95,ES96,ES97,ES98,ES99,ES100,ES101,ES102)</f>
        <v>( 2 X 50' L X 0.8080 R X 0.0 A ÷ 1,000 )  = 0.0 VD</v>
      </c>
      <c r="ET84" s="22"/>
      <c r="EU84" s="22"/>
      <c r="EV84" s="22"/>
      <c r="FH84" s="425">
        <v>17</v>
      </c>
      <c r="FI84" s="425" t="s">
        <v>114</v>
      </c>
      <c r="FJ84" s="425" t="s">
        <v>93</v>
      </c>
      <c r="FW84" s="373" t="s">
        <v>195</v>
      </c>
      <c r="FX84" s="81"/>
      <c r="FY84" s="81"/>
      <c r="FZ84" s="81"/>
      <c r="GA84" s="81"/>
      <c r="GB84" s="81"/>
      <c r="GC84" s="81">
        <f>SUM(GC75:GC83)</f>
        <v>2</v>
      </c>
      <c r="GD84" s="81"/>
      <c r="GE84" s="81">
        <f>SUM(GE75:GE83)</f>
        <v>0.1014</v>
      </c>
      <c r="GF84" s="81"/>
      <c r="GG84" s="72">
        <f>SUM(GG75:GG83)</f>
        <v>1</v>
      </c>
      <c r="GH84" s="22">
        <f>SUM(GH75:GH83)</f>
        <v>1</v>
      </c>
      <c r="GI84" s="22"/>
      <c r="GK84" s="24"/>
      <c r="GL84" s="31"/>
      <c r="GM84" s="85"/>
      <c r="GN84" s="86"/>
      <c r="GO84" s="22"/>
      <c r="GP84" s="22"/>
      <c r="GQ84" s="22"/>
      <c r="GR84" s="22"/>
      <c r="GS84" s="22"/>
      <c r="GT84" s="22" t="str">
        <f>CONCATENATE(GT89,GT90,GT91,GT92,GT93,GT94,GT95,GT96,GT97,GT98,GT99,GT100,GT101,GT102)</f>
        <v>( 2 X 0' L X 0.0000 R X 0.0 A ÷ 1,000 )  = 0.0 VD</v>
      </c>
      <c r="GU84" s="22"/>
      <c r="GV84" s="22"/>
      <c r="GW84" s="22"/>
    </row>
    <row r="85" spans="39:207" ht="14.1" hidden="1" customHeight="1">
      <c r="BQ85" s="151" t="s">
        <v>57</v>
      </c>
      <c r="BR85" s="151">
        <f>IF(H8=1,0,IF(H8="3D",BI76,IF(H8="3Y",BS76)))</f>
        <v>0</v>
      </c>
      <c r="BY85" s="130"/>
      <c r="BZ85" s="136"/>
      <c r="CA85" s="128">
        <f t="shared" si="52"/>
        <v>79</v>
      </c>
      <c r="CB85" s="129">
        <f>IF(SUM(CB$46:CB84)=0,CC85,0)</f>
        <v>0</v>
      </c>
      <c r="CC85" s="129">
        <f>IF(H$5&lt;80,0,IF(G68="G",0,IF(G68="C",0,IF(G68="M",0,IF(G68="K",0,IF(AND(OR($H$11="FULL",$H$11="AUTO"),G68="D"),0,79))))))</f>
        <v>0</v>
      </c>
      <c r="CD85" s="128" t="str">
        <f>IF($H$11="NONE","ENTER CIRCUIT #79 LOAD IDENTIFIER  ( G, C, M, K )","ENTER CIRCUIT #79 LOAD IDENTIFIER  ( G, D, C, M, K )")</f>
        <v>ENTER CIRCUIT #79 LOAD IDENTIFIER  ( G, D, C, M, K )</v>
      </c>
      <c r="CE85" s="129">
        <f>IF(SUM(CE$46:CE84)=0,CF85,0)</f>
        <v>0</v>
      </c>
      <c r="CF85" s="129">
        <f>IF(H$5&lt;80,0,IF(ISBLANK(F68)=TRUE,79,IF(F68=" ",0,IF(F68="H",0,79))))</f>
        <v>0</v>
      </c>
      <c r="CG85" s="128" t="s">
        <v>336</v>
      </c>
      <c r="CH85" s="129">
        <f>IF(SUM(CH$46:CH84)=0,CI85,0)</f>
        <v>0</v>
      </c>
      <c r="CI85" s="132">
        <f>IF($H$5&lt;80,0,IF(ISBLANK($E68)=TRUE,79,IF($E68="N",0,IF($E68=" ",0,79))))</f>
        <v>0</v>
      </c>
      <c r="CJ85" s="128" t="s">
        <v>469</v>
      </c>
      <c r="CK85" s="128"/>
      <c r="CL85" s="128"/>
      <c r="CM85" s="128"/>
      <c r="CN85" s="128"/>
      <c r="CO85" s="128"/>
      <c r="CP85" s="128"/>
      <c r="CQ85" s="37"/>
      <c r="CW85" s="24"/>
      <c r="CX85" s="45" t="s">
        <v>584</v>
      </c>
      <c r="CY85" s="45"/>
      <c r="CZ85" s="22"/>
      <c r="DA85" s="330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V85" s="22"/>
      <c r="DW85" s="22"/>
      <c r="DX85" s="22"/>
      <c r="DY85" s="22"/>
      <c r="DZ85" s="22"/>
      <c r="EA85" s="22"/>
      <c r="EB85" s="22"/>
      <c r="EC85" s="22" t="s">
        <v>843</v>
      </c>
      <c r="ED85" s="22" t="s">
        <v>844</v>
      </c>
      <c r="EE85" s="22"/>
      <c r="EF85" s="22"/>
      <c r="EG85" s="22"/>
      <c r="EH85" s="22"/>
      <c r="EJ85" s="24"/>
      <c r="EK85" s="31"/>
      <c r="EL85" s="85"/>
      <c r="EM85" s="86"/>
      <c r="EN85" s="22"/>
      <c r="EO85" s="22"/>
      <c r="EP85" s="22"/>
      <c r="EQ85" s="22"/>
      <c r="ER85" s="22"/>
      <c r="ES85" s="22"/>
      <c r="ET85" s="22"/>
      <c r="EU85" s="22"/>
      <c r="EV85" s="22"/>
      <c r="FH85" s="426">
        <v>18</v>
      </c>
      <c r="FI85" s="426" t="s">
        <v>116</v>
      </c>
      <c r="FJ85" s="426" t="s">
        <v>93</v>
      </c>
      <c r="FW85" s="360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K85" s="24"/>
      <c r="GL85" s="31"/>
      <c r="GM85" s="85"/>
      <c r="GN85" s="86"/>
      <c r="GO85" s="22"/>
      <c r="GP85" s="22"/>
      <c r="GQ85" s="22"/>
      <c r="GR85" s="22"/>
      <c r="GS85" s="22"/>
      <c r="GT85" s="22"/>
      <c r="GU85" s="22"/>
      <c r="GV85" s="22"/>
      <c r="GW85" s="22"/>
    </row>
    <row r="86" spans="39:207" ht="14.1" hidden="1" customHeight="1">
      <c r="BY86" s="130"/>
      <c r="BZ86" s="136"/>
      <c r="CA86" s="128">
        <f t="shared" si="52"/>
        <v>81</v>
      </c>
      <c r="CB86" s="129">
        <f>IF(SUM(CB$46:CB85)=0,CC86,0)</f>
        <v>0</v>
      </c>
      <c r="CC86" s="129">
        <f>IF(H$5&lt;82,0,IF(G69="G",0,IF(G69="C",0,IF(G69="M",0,IF(G69="K",0,IF(AND(OR($H$11="FULL",$H$11="AUTO"),OR($H$8=1,$H$8="3Y"),G69="D"),0,81))))))</f>
        <v>0</v>
      </c>
      <c r="CD86" s="128" t="str">
        <f>IF($H$11="NONE","ENTER CIRCUIT #81 LOAD IDENTIFIER  ( G, C, M, K )",IF($H$8="3D","ENTER CIRCUIT #81 LOAD IDENTIFIER  ( G, C, M, K )","ENTER CIRCUIT #81 LOAD IDENTIFIER  ( G, D, C, M, K )"))</f>
        <v>ENTER CIRCUIT #81 LOAD IDENTIFIER  ( G, D, C, M, K )</v>
      </c>
      <c r="CE86" s="129">
        <f>IF(SUM(CE$46:CE85)=0,CF86,0)</f>
        <v>0</v>
      </c>
      <c r="CF86" s="129">
        <f>IF(H$5&lt;82,0,IF(ISBLANK(F69)=TRUE,81,IF(F69=" ",0,IF(F69="H",0,81))))</f>
        <v>0</v>
      </c>
      <c r="CG86" s="128" t="s">
        <v>337</v>
      </c>
      <c r="CH86" s="129">
        <f>IF(SUM(CH$46:CH85)=0,CI86,0)</f>
        <v>0</v>
      </c>
      <c r="CI86" s="132">
        <f>IF($H$5&lt;82,0,IF(ISBLANK($E69)=TRUE,81,IF($E69=" ",0,IF(AND($H$8&lt;&gt;"3D",$E69="N"),0,81))))</f>
        <v>0</v>
      </c>
      <c r="CJ86" s="128" t="str">
        <f>IF($H$8&lt;&gt;"3D","ENTER CIRCUIT #81 NEUTRAL IDENTIFIER  ( N or SPACE )","ENTER CIRCUIT #81 NEUTRAL IDENTIFIER  ( SPACE )")</f>
        <v>ENTER CIRCUIT #81 NEUTRAL IDENTIFIER  ( N or SPACE )</v>
      </c>
      <c r="CK86" s="128"/>
      <c r="CL86" s="128"/>
      <c r="CM86" s="128"/>
      <c r="CN86" s="128"/>
      <c r="CO86" s="128"/>
      <c r="CP86" s="128"/>
      <c r="CQ86" s="37"/>
      <c r="CW86" s="24"/>
      <c r="CX86" s="46" t="s">
        <v>175</v>
      </c>
      <c r="CY86" s="155">
        <f>J13</f>
        <v>0</v>
      </c>
      <c r="CZ86" s="22"/>
      <c r="DA86" s="31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V86" s="22"/>
      <c r="DW86" s="22"/>
      <c r="DX86" s="22"/>
      <c r="DY86" s="22"/>
      <c r="DZ86" s="22"/>
      <c r="EA86" s="22"/>
      <c r="EB86" s="22" t="s">
        <v>12</v>
      </c>
      <c r="EC86" s="31" t="str">
        <f>H15</f>
        <v>AL</v>
      </c>
      <c r="ED86" s="22"/>
      <c r="EE86" s="22"/>
      <c r="EF86" s="22"/>
      <c r="EG86" s="22"/>
      <c r="EJ86" s="24"/>
      <c r="EK86" s="31"/>
      <c r="EL86" s="85"/>
      <c r="EM86" s="86"/>
      <c r="EN86" s="22"/>
      <c r="EO86" s="22"/>
      <c r="EP86" s="22"/>
      <c r="EQ86" s="22"/>
      <c r="ER86" s="22"/>
      <c r="ES86" s="22"/>
      <c r="ET86" s="22"/>
      <c r="EU86" s="22"/>
      <c r="EV86" s="22"/>
      <c r="FH86" s="427"/>
      <c r="FI86" s="427"/>
      <c r="FJ86" s="427"/>
      <c r="FW86" s="360"/>
      <c r="FX86" s="22"/>
      <c r="FY86" s="22"/>
      <c r="FZ86" s="22"/>
      <c r="GA86" s="22"/>
      <c r="GB86" s="22"/>
      <c r="GC86" s="22"/>
      <c r="GD86" s="22"/>
      <c r="GE86" s="22"/>
      <c r="GF86" s="22" t="s">
        <v>12</v>
      </c>
      <c r="GG86" s="31">
        <f>J15</f>
        <v>0</v>
      </c>
      <c r="GH86" s="22"/>
      <c r="GK86" s="24"/>
      <c r="GL86" s="31"/>
      <c r="GM86" s="85"/>
      <c r="GN86" s="86"/>
      <c r="GO86" s="86"/>
      <c r="GP86" s="22"/>
      <c r="GQ86" s="22"/>
      <c r="GR86" s="22"/>
      <c r="GS86" s="22"/>
      <c r="GT86" s="22"/>
      <c r="GU86" s="22"/>
      <c r="GV86" s="22"/>
      <c r="GW86" s="22"/>
    </row>
    <row r="87" spans="39:207" ht="14.1" hidden="1" customHeight="1">
      <c r="AV87" s="127"/>
      <c r="AW87" s="127"/>
      <c r="AZ87" s="150"/>
      <c r="BQ87" s="151" t="s">
        <v>193</v>
      </c>
      <c r="BR87" s="151">
        <f>MAX(BR83:BR85)</f>
        <v>0</v>
      </c>
      <c r="BY87" s="130"/>
      <c r="BZ87" s="136"/>
      <c r="CA87" s="128">
        <f t="shared" si="52"/>
        <v>83</v>
      </c>
      <c r="CB87" s="129">
        <f>IF(SUM(CB$46:CB86)=0,CC87,0)</f>
        <v>0</v>
      </c>
      <c r="CC87" s="129">
        <f>IF(H$5&lt;84,0,IF(G70="G",0,IF(G70="C",0,IF(G70="M",0,IF(G70="K",0,IF(AND(OR($H$11="FULL",$H$11="AUTO"),G70="D"),0,83))))))</f>
        <v>0</v>
      </c>
      <c r="CD87" s="128" t="str">
        <f>IF($H$11="NONE","ENTER CIRCUIT #83 LOAD IDENTIFIER  ( G, C, M, K )","ENTER CIRCUIT #83 LOAD IDENTIFIER  ( G, D, C, M, K )")</f>
        <v>ENTER CIRCUIT #83 LOAD IDENTIFIER  ( G, D, C, M, K )</v>
      </c>
      <c r="CE87" s="129">
        <f>IF(SUM(CE$46:CE86)=0,CF87,0)</f>
        <v>0</v>
      </c>
      <c r="CF87" s="129">
        <f>IF(H$5&lt;84,0,IF(ISBLANK(F70)=TRUE,83,IF(F70=" ",0,IF(F70="H",0,83))))</f>
        <v>0</v>
      </c>
      <c r="CG87" s="128" t="s">
        <v>338</v>
      </c>
      <c r="CH87" s="129">
        <f>IF(SUM(CH$46:CH86)=0,CI87,0)</f>
        <v>0</v>
      </c>
      <c r="CI87" s="132">
        <f>IF($H$5&lt;84,0,IF(ISBLANK($E70)=TRUE,83,IF($E70="N",0,IF($E70=" ",0,83))))</f>
        <v>0</v>
      </c>
      <c r="CJ87" s="128" t="s">
        <v>470</v>
      </c>
      <c r="CK87" s="128"/>
      <c r="CL87" s="128"/>
      <c r="CM87" s="128"/>
      <c r="CN87" s="128"/>
      <c r="CO87" s="128"/>
      <c r="CP87" s="128"/>
      <c r="CQ87" s="37"/>
      <c r="CW87" s="24"/>
      <c r="CX87" s="49" t="s">
        <v>178</v>
      </c>
      <c r="CY87" s="50">
        <f>DX37</f>
        <v>60</v>
      </c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V87" s="22"/>
      <c r="DW87" s="22" t="s">
        <v>12</v>
      </c>
      <c r="DX87" s="22">
        <f>IF(EB76&gt;0,EB76," ")</f>
        <v>3</v>
      </c>
      <c r="DY87" s="22" t="s">
        <v>361</v>
      </c>
      <c r="DZ87" s="22" t="str">
        <f>IF(DX87&gt;0,EH76," ")</f>
        <v>#6</v>
      </c>
      <c r="EA87" s="31" t="s">
        <v>12</v>
      </c>
      <c r="EB87" s="31" t="str">
        <f>H14</f>
        <v>THHN</v>
      </c>
      <c r="EC87" s="24" t="str">
        <f>CONCATENATE(DW87,DX87,DY87,DZ87,EA87,EB87,EB86,EC86)</f>
        <v xml:space="preserve"> 3-#6 THHN AL</v>
      </c>
      <c r="ED87" s="22"/>
      <c r="EE87" s="22"/>
      <c r="EF87" s="22"/>
      <c r="EG87" s="22"/>
      <c r="EH87" s="22"/>
      <c r="EI87" s="22"/>
      <c r="EJ87" s="24"/>
      <c r="EK87" s="31"/>
      <c r="EL87" s="85"/>
      <c r="EM87" s="86" t="s">
        <v>523</v>
      </c>
      <c r="EN87" s="22" t="s">
        <v>523</v>
      </c>
      <c r="EO87" s="22"/>
      <c r="EP87" s="22"/>
      <c r="EQ87" s="22"/>
      <c r="ER87" s="22"/>
      <c r="ES87" s="22"/>
      <c r="ET87" s="22"/>
      <c r="EU87" s="22" t="s">
        <v>536</v>
      </c>
      <c r="EV87" s="22" t="s">
        <v>536</v>
      </c>
      <c r="EW87" s="22" t="s">
        <v>536</v>
      </c>
      <c r="EX87" s="22" t="s">
        <v>536</v>
      </c>
      <c r="FH87" s="427"/>
      <c r="FI87" s="427">
        <f>CX54</f>
        <v>50</v>
      </c>
      <c r="FJ87" s="427"/>
      <c r="FW87" s="360"/>
      <c r="FX87" s="22"/>
      <c r="FY87" s="22"/>
      <c r="FZ87" s="22"/>
      <c r="GA87" s="22"/>
      <c r="GB87" s="22" t="s">
        <v>12</v>
      </c>
      <c r="GC87" s="22">
        <f>GC76</f>
        <v>2</v>
      </c>
      <c r="GD87" s="22" t="s">
        <v>361</v>
      </c>
      <c r="GE87" s="22" t="str">
        <f>GI76</f>
        <v>#6</v>
      </c>
      <c r="GF87" s="31" t="s">
        <v>12</v>
      </c>
      <c r="GG87" s="31">
        <f>J14</f>
        <v>0</v>
      </c>
      <c r="GH87" s="24" t="str">
        <f>CONCATENATE(GB87,GC87,GD87,GE87,GF87,GG87,GF86,GG86)</f>
        <v xml:space="preserve"> 2-#6 0 0</v>
      </c>
      <c r="GI87" s="22"/>
      <c r="GJ87" s="22"/>
      <c r="GK87" s="24"/>
      <c r="GL87" s="31"/>
      <c r="GM87" s="85"/>
      <c r="GN87" s="86"/>
      <c r="GO87" s="86"/>
      <c r="GP87" s="22"/>
      <c r="GQ87" s="22"/>
      <c r="GR87" s="22"/>
      <c r="GS87" s="22"/>
      <c r="GT87" s="22"/>
      <c r="GU87" s="22"/>
      <c r="GV87" s="22" t="s">
        <v>536</v>
      </c>
      <c r="GW87" s="22" t="s">
        <v>536</v>
      </c>
      <c r="GX87" s="22" t="s">
        <v>536</v>
      </c>
      <c r="GY87" s="22" t="s">
        <v>536</v>
      </c>
    </row>
    <row r="88" spans="39:207" ht="14.1" hidden="1" customHeight="1">
      <c r="BY88" s="130"/>
      <c r="BZ88" s="136"/>
      <c r="CA88" s="128">
        <v>84</v>
      </c>
      <c r="CB88" s="129">
        <f>IF(SUM(CB$46:CB87)=0,CC88,0)</f>
        <v>0</v>
      </c>
      <c r="CC88" s="129">
        <f>IF(H8&lt;&gt;"3D",0,IF('S-Calcs'!U26&gt;0,84,0))</f>
        <v>0</v>
      </c>
      <c r="CD88" s="133" t="s">
        <v>567</v>
      </c>
      <c r="CE88" s="129"/>
      <c r="CF88" s="129"/>
      <c r="CG88" s="128"/>
      <c r="CI88" s="132"/>
      <c r="CJ88" s="128"/>
      <c r="CK88" s="128"/>
      <c r="CL88" s="128"/>
      <c r="CM88" s="128"/>
      <c r="CN88" s="128"/>
      <c r="CO88" s="128"/>
      <c r="CP88" s="128"/>
      <c r="CQ88" s="37"/>
      <c r="CW88" s="24"/>
      <c r="CX88" s="61" t="s">
        <v>181</v>
      </c>
      <c r="CY88" s="188">
        <f>J15</f>
        <v>0</v>
      </c>
      <c r="CZ88" s="22"/>
      <c r="DA88" s="31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V88" s="22"/>
      <c r="DW88" s="22" t="s">
        <v>12</v>
      </c>
      <c r="DX88" s="22">
        <f>IF(EB78&gt;0,EB78,0)</f>
        <v>0</v>
      </c>
      <c r="DY88" s="22" t="s">
        <v>361</v>
      </c>
      <c r="DZ88" s="22" t="str">
        <f>IF(DX88&gt;0,EH78," ")</f>
        <v xml:space="preserve"> </v>
      </c>
      <c r="EA88" s="31" t="s">
        <v>12</v>
      </c>
      <c r="EB88" s="31" t="str">
        <f>H14</f>
        <v>THHN</v>
      </c>
      <c r="EC88" s="24" t="str">
        <f>IF(DX88=0,"",CONCATENATE(DW88,DX88,DY88,DZ88,EA88,EB88,EB86,EC86,EC85))</f>
        <v/>
      </c>
      <c r="ED88" s="22"/>
      <c r="EE88" s="22"/>
      <c r="EF88" s="22"/>
      <c r="EG88" s="22"/>
      <c r="EH88" s="22"/>
      <c r="EI88" s="22"/>
      <c r="EJ88" s="24"/>
      <c r="EK88" s="22" t="s">
        <v>401</v>
      </c>
      <c r="EL88" s="85" t="s">
        <v>478</v>
      </c>
      <c r="EM88" s="86" t="s">
        <v>56</v>
      </c>
      <c r="EN88" s="22" t="s">
        <v>541</v>
      </c>
      <c r="EO88" s="22"/>
      <c r="EP88" s="22" t="s">
        <v>401</v>
      </c>
      <c r="EQ88" s="22" t="s">
        <v>478</v>
      </c>
      <c r="ER88" s="22" t="s">
        <v>56</v>
      </c>
      <c r="ES88" s="22" t="s">
        <v>541</v>
      </c>
      <c r="ET88" s="22"/>
      <c r="EU88" s="22" t="s">
        <v>401</v>
      </c>
      <c r="EV88" s="22" t="s">
        <v>403</v>
      </c>
      <c r="EW88" s="22" t="s">
        <v>56</v>
      </c>
      <c r="EX88" s="22" t="s">
        <v>541</v>
      </c>
      <c r="FH88" s="424"/>
      <c r="FI88" s="424"/>
      <c r="FJ88" s="424" t="str">
        <f>IF(H$16=60,FK88,IF(H$16=75,FM88,IF(H$16=90,FN88)))</f>
        <v>75 C</v>
      </c>
      <c r="FK88" s="424" t="s">
        <v>69</v>
      </c>
      <c r="FL88" s="424" t="s">
        <v>34</v>
      </c>
      <c r="FM88" s="424" t="s">
        <v>70</v>
      </c>
      <c r="FN88" s="424" t="s">
        <v>71</v>
      </c>
      <c r="FO88" s="424" t="s">
        <v>68</v>
      </c>
      <c r="FP88" s="427"/>
      <c r="FQ88" s="427"/>
      <c r="FW88" s="360"/>
      <c r="FX88" s="22"/>
      <c r="FY88" s="22"/>
      <c r="FZ88" s="22"/>
      <c r="GA88" s="22"/>
      <c r="GB88" s="22" t="s">
        <v>12</v>
      </c>
      <c r="GC88" s="22">
        <f>GC82</f>
        <v>0</v>
      </c>
      <c r="GD88" s="22" t="s">
        <v>361</v>
      </c>
      <c r="GE88" s="22" t="str">
        <f>GI82</f>
        <v>#8</v>
      </c>
      <c r="GF88" s="22" t="s">
        <v>12</v>
      </c>
      <c r="GG88" s="22" t="s">
        <v>825</v>
      </c>
      <c r="GH88" s="24" t="str">
        <f>CONCATENATE(GB88,GC88,GD88,GE88,GF88,GG86,GG88)</f>
        <v xml:space="preserve"> 0-#8 0 GND</v>
      </c>
      <c r="GI88" s="22"/>
      <c r="GJ88" s="22"/>
      <c r="GK88" s="24"/>
      <c r="GL88" s="22" t="s">
        <v>401</v>
      </c>
      <c r="GM88" s="85" t="s">
        <v>478</v>
      </c>
      <c r="GN88" s="86"/>
      <c r="GO88" s="86"/>
      <c r="GP88" s="22"/>
      <c r="GQ88" s="22" t="s">
        <v>401</v>
      </c>
      <c r="GR88" s="22" t="s">
        <v>478</v>
      </c>
      <c r="GS88" s="22" t="s">
        <v>56</v>
      </c>
      <c r="GT88" s="22" t="s">
        <v>541</v>
      </c>
      <c r="GU88" s="22"/>
      <c r="GV88" s="22" t="s">
        <v>401</v>
      </c>
      <c r="GW88" s="22" t="s">
        <v>403</v>
      </c>
      <c r="GX88" s="22" t="s">
        <v>56</v>
      </c>
      <c r="GY88" s="22" t="s">
        <v>541</v>
      </c>
    </row>
    <row r="89" spans="39:207" ht="14.1" hidden="1" customHeight="1">
      <c r="BY89" s="130"/>
      <c r="BZ89" s="136">
        <f>IF(S4="NONE",0,(CB89+CE89+CH89))</f>
        <v>0</v>
      </c>
      <c r="CA89" s="138" t="str">
        <f>IF(CB89=0," ",VLOOKUP(CB89,CA46:CD88,4))</f>
        <v xml:space="preserve"> </v>
      </c>
      <c r="CB89" s="139">
        <f>IF(CC11&gt;0,0,IF(CC30&gt;0,0,SUM(CB46:CB88)))</f>
        <v>0</v>
      </c>
      <c r="CC89" s="136"/>
      <c r="CD89" s="136"/>
      <c r="CE89" s="228">
        <f>IF($H$8=1,0,IF($H$8="3D",0,SUM(CE46:CE87)))</f>
        <v>0</v>
      </c>
      <c r="CF89" s="136"/>
      <c r="CG89" s="136"/>
      <c r="CH89" s="260">
        <f>IF($H$11&lt;&gt;"AUTO",0,SUM(CH46:CH87))</f>
        <v>0</v>
      </c>
      <c r="CI89" s="136"/>
      <c r="CJ89" s="259" t="str">
        <f>IF(CH89=0," ",VLOOKUP(CH89,CA46:CJ87,10))</f>
        <v xml:space="preserve"> </v>
      </c>
      <c r="CK89" s="138"/>
      <c r="CL89" s="138"/>
      <c r="CM89" s="138"/>
      <c r="CN89" s="138"/>
      <c r="CO89" s="138"/>
      <c r="CP89" s="136"/>
      <c r="CQ89" s="37"/>
      <c r="CW89" s="24"/>
      <c r="CX89" s="29" t="s">
        <v>184</v>
      </c>
      <c r="CY89" s="27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V89" s="22"/>
      <c r="DW89" s="22" t="s">
        <v>12</v>
      </c>
      <c r="DX89" s="22">
        <f>IF(EB80&gt;0,EB80,0)</f>
        <v>0</v>
      </c>
      <c r="DY89" s="22" t="s">
        <v>361</v>
      </c>
      <c r="DZ89" s="22" t="str">
        <f>IF(DX89&gt;0,EH80," ")</f>
        <v xml:space="preserve"> </v>
      </c>
      <c r="EA89" s="31" t="s">
        <v>12</v>
      </c>
      <c r="EB89" s="31" t="str">
        <f>H14</f>
        <v>THHN</v>
      </c>
      <c r="EC89" s="24" t="str">
        <f>IF(DX89=0,"",CONCATENATE(DW89,DX89,DY89,DZ89,EA89,EB89,EB86,EC86,ED85))</f>
        <v/>
      </c>
      <c r="ED89" s="22"/>
      <c r="EE89" s="22"/>
      <c r="EF89" s="22"/>
      <c r="EG89" s="22"/>
      <c r="EH89" s="22"/>
      <c r="EI89" s="22"/>
      <c r="EJ89" s="23">
        <v>2</v>
      </c>
      <c r="EK89" s="22">
        <v>2</v>
      </c>
      <c r="EL89" s="22">
        <v>2</v>
      </c>
      <c r="EM89" s="22">
        <v>2</v>
      </c>
      <c r="EN89" s="22">
        <v>2</v>
      </c>
      <c r="EO89" s="149" t="s">
        <v>245</v>
      </c>
      <c r="EP89" s="149" t="s">
        <v>245</v>
      </c>
      <c r="EQ89" s="149" t="s">
        <v>245</v>
      </c>
      <c r="ER89" s="149" t="s">
        <v>245</v>
      </c>
      <c r="ES89" s="149" t="s">
        <v>245</v>
      </c>
      <c r="ET89" s="22" t="s">
        <v>245</v>
      </c>
      <c r="EU89" s="22" t="s">
        <v>245</v>
      </c>
      <c r="EV89" s="22" t="s">
        <v>245</v>
      </c>
      <c r="EW89" s="22" t="s">
        <v>245</v>
      </c>
      <c r="EX89" s="22" t="s">
        <v>245</v>
      </c>
      <c r="FH89" s="425"/>
      <c r="FI89" s="425"/>
      <c r="FJ89" s="425" t="str">
        <f t="shared" ref="FJ89:FJ100" si="54">IF(H$16=60,FK89,IF(H$16=75,FM89,IF(H$16=90,FN89)))</f>
        <v>AMPS</v>
      </c>
      <c r="FK89" s="425" t="s">
        <v>48</v>
      </c>
      <c r="FL89" s="425" t="s">
        <v>68</v>
      </c>
      <c r="FM89" s="425" t="s">
        <v>48</v>
      </c>
      <c r="FN89" s="425" t="s">
        <v>48</v>
      </c>
      <c r="FO89" s="425" t="s">
        <v>38</v>
      </c>
      <c r="FP89" s="427"/>
      <c r="FQ89" s="427"/>
      <c r="FW89" s="360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3">
        <v>2</v>
      </c>
      <c r="GL89" s="22">
        <v>2</v>
      </c>
      <c r="GM89" s="22">
        <v>2</v>
      </c>
      <c r="GN89" s="86"/>
      <c r="GO89" s="86"/>
      <c r="GP89" s="149" t="s">
        <v>245</v>
      </c>
      <c r="GQ89" s="149" t="s">
        <v>245</v>
      </c>
      <c r="GR89" s="149" t="s">
        <v>245</v>
      </c>
      <c r="GS89" s="149" t="s">
        <v>245</v>
      </c>
      <c r="GT89" s="149" t="s">
        <v>245</v>
      </c>
      <c r="GU89" s="22" t="s">
        <v>245</v>
      </c>
      <c r="GV89" s="22" t="s">
        <v>245</v>
      </c>
      <c r="GW89" s="22" t="s">
        <v>245</v>
      </c>
      <c r="GX89" s="22" t="s">
        <v>245</v>
      </c>
      <c r="GY89" s="22" t="s">
        <v>245</v>
      </c>
    </row>
    <row r="90" spans="39:207" ht="14.1" hidden="1" customHeight="1">
      <c r="BY90" s="130"/>
      <c r="BZ90" s="136"/>
      <c r="CA90" s="138" t="str">
        <f>IF(CE89=0," ",VLOOKUP(CE89,CA46:CG87,7))</f>
        <v xml:space="preserve"> </v>
      </c>
      <c r="CB90" s="138" t="str">
        <f>IF(CB89&gt;0,CA89,IF(CE89&gt;0,CA90,IF(CH89&gt;0,CJ89," ")))</f>
        <v xml:space="preserve"> </v>
      </c>
      <c r="CC90" s="136"/>
      <c r="CD90" s="138"/>
      <c r="CE90" s="133" t="s">
        <v>12</v>
      </c>
      <c r="CF90" s="136"/>
      <c r="CG90" s="136"/>
      <c r="CH90" s="136"/>
      <c r="CI90" s="136"/>
      <c r="CJ90" s="136"/>
      <c r="CK90" s="136"/>
      <c r="CL90" s="136"/>
      <c r="CM90" s="136"/>
      <c r="CN90" s="136"/>
      <c r="CO90" s="136"/>
      <c r="CP90" s="136"/>
      <c r="CQ90" s="37"/>
      <c r="CX90" s="58" t="s">
        <v>30</v>
      </c>
      <c r="CY90" s="58"/>
      <c r="CZ90" s="58" t="s">
        <v>49</v>
      </c>
      <c r="DA90" s="58" t="s">
        <v>186</v>
      </c>
      <c r="DB90" s="58" t="s">
        <v>186</v>
      </c>
      <c r="DC90" s="58"/>
      <c r="DD90" s="58" t="s">
        <v>49</v>
      </c>
      <c r="DE90" s="58" t="s">
        <v>60</v>
      </c>
      <c r="DF90" s="58" t="s">
        <v>60</v>
      </c>
      <c r="DG90" s="58" t="s">
        <v>77</v>
      </c>
      <c r="DH90" s="58" t="s">
        <v>77</v>
      </c>
      <c r="DI90" s="27"/>
      <c r="DJ90" s="27"/>
      <c r="DK90" s="27"/>
      <c r="DL90" s="27"/>
      <c r="DV90" s="22"/>
      <c r="DW90" s="22" t="s">
        <v>12</v>
      </c>
      <c r="DX90" s="22">
        <f>IF(EB82&gt;0,EB82,0)</f>
        <v>1</v>
      </c>
      <c r="DY90" s="22" t="s">
        <v>361</v>
      </c>
      <c r="DZ90" s="22" t="str">
        <f>IF(DX90&gt;0,EH82," ")</f>
        <v>#8</v>
      </c>
      <c r="EA90" s="31" t="s">
        <v>12</v>
      </c>
      <c r="EB90" s="31" t="s">
        <v>825</v>
      </c>
      <c r="EC90" s="24" t="str">
        <f>IF(H13="N"," ",IF(DX90=0,"",CONCATENATE(DW90,DX90,DY90,DZ90,EA90,EC86,EB90)))</f>
        <v xml:space="preserve"> 1-#8 AL GND</v>
      </c>
      <c r="ED90" s="22"/>
      <c r="EE90" s="22"/>
      <c r="EF90" s="22"/>
      <c r="EG90" s="22"/>
      <c r="EH90" s="22"/>
      <c r="EI90" s="22"/>
      <c r="EJ90" s="23" t="s">
        <v>197</v>
      </c>
      <c r="EK90" s="291">
        <f>'S-Input'!H17</f>
        <v>50</v>
      </c>
      <c r="EL90" s="85">
        <f>'S-Input'!H17</f>
        <v>50</v>
      </c>
      <c r="EM90" s="85">
        <f>'S-Input'!H17</f>
        <v>50</v>
      </c>
      <c r="EN90" s="85">
        <f>'S-Input'!H17</f>
        <v>50</v>
      </c>
      <c r="EO90" s="149">
        <v>2</v>
      </c>
      <c r="EP90" s="149">
        <v>2</v>
      </c>
      <c r="EQ90" s="149">
        <v>2</v>
      </c>
      <c r="ER90" s="149">
        <v>2</v>
      </c>
      <c r="ES90" s="149">
        <v>2</v>
      </c>
      <c r="ET90" s="22" t="s">
        <v>136</v>
      </c>
      <c r="EU90" s="302" t="str">
        <f>TEXT(EK97, "#,##0.0")</f>
        <v>0.0</v>
      </c>
      <c r="EV90" s="302" t="str">
        <f>TEXT(EL97, "#,##0.0")</f>
        <v>0.0</v>
      </c>
      <c r="EW90" s="302" t="str">
        <f>TEXT(EM97, "#,##0.0")</f>
        <v>0.0</v>
      </c>
      <c r="EX90" s="302" t="str">
        <f>TEXT(EN97, "#,##0.0")</f>
        <v>0.0</v>
      </c>
      <c r="FH90" s="425"/>
      <c r="FI90" s="425"/>
      <c r="FJ90" s="425" t="str">
        <f t="shared" si="54"/>
        <v>CU</v>
      </c>
      <c r="FK90" s="425" t="s">
        <v>60</v>
      </c>
      <c r="FL90" s="425" t="s">
        <v>38</v>
      </c>
      <c r="FM90" s="425" t="s">
        <v>60</v>
      </c>
      <c r="FN90" s="425" t="s">
        <v>60</v>
      </c>
      <c r="FO90" s="425" t="s">
        <v>74</v>
      </c>
      <c r="FP90" s="427"/>
      <c r="FQ90" s="427"/>
      <c r="FW90" s="360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3" t="s">
        <v>197</v>
      </c>
      <c r="GL90" s="291">
        <f>GL56</f>
        <v>0</v>
      </c>
      <c r="GM90" s="85">
        <f>GL56</f>
        <v>0</v>
      </c>
      <c r="GN90" s="86"/>
      <c r="GO90" s="86"/>
      <c r="GP90" s="149">
        <v>2</v>
      </c>
      <c r="GQ90" s="149">
        <v>2</v>
      </c>
      <c r="GR90" s="149">
        <v>2</v>
      </c>
      <c r="GS90" s="149">
        <v>2</v>
      </c>
      <c r="GT90" s="149">
        <v>2</v>
      </c>
      <c r="GU90" s="22" t="s">
        <v>136</v>
      </c>
      <c r="GV90" s="302" t="str">
        <f>TEXT(GL97, "#,##0.0")</f>
        <v>0.0</v>
      </c>
      <c r="GW90" s="302" t="str">
        <f>TEXT(GM97, "#,##0.0")</f>
        <v>0.0</v>
      </c>
      <c r="GX90" s="302" t="str">
        <f>TEXT(GN97, "#,##0.0")</f>
        <v>0.0</v>
      </c>
      <c r="GY90" s="302" t="str">
        <f>TEXT(GO97, "#,##0.0")</f>
        <v>0.0</v>
      </c>
    </row>
    <row r="91" spans="39:207" ht="14.1" hidden="1" customHeight="1">
      <c r="BY91" s="130"/>
      <c r="BZ91" s="136"/>
      <c r="CA91" s="128">
        <v>2</v>
      </c>
      <c r="CB91" s="129">
        <f>CC91</f>
        <v>0</v>
      </c>
      <c r="CC91" s="129">
        <f>IF(H$5&lt;2,0,IF(K29="G",0,IF(K29="C",0,IF(K29="M",0,IF(K29="K",0,IF(AND(OR($H$11="FULL",$H$11="AUTO"),K29="D"),0,2))))))</f>
        <v>0</v>
      </c>
      <c r="CD91" s="128" t="str">
        <f>IF($H$11="NONE","ENTER CIRCUIT #2 LOAD IDENTIFIER  ( G, C, M, K )","ENTER CIRCUIT #2 LOAD IDENTIFIER  ( G, D, C, M, K )")</f>
        <v>ENTER CIRCUIT #2 LOAD IDENTIFIER  ( G, D, C, M, K )</v>
      </c>
      <c r="CE91" s="129">
        <f>CF91</f>
        <v>0</v>
      </c>
      <c r="CF91" s="129">
        <f>IF(H$5&lt;2,0,IF(ISBLANK(L29)=TRUE,2,IF(L29=" ",0,IF(L29="H",0,2))))</f>
        <v>0</v>
      </c>
      <c r="CG91" s="128" t="s">
        <v>138</v>
      </c>
      <c r="CH91" s="129">
        <f>CI91</f>
        <v>0</v>
      </c>
      <c r="CI91" s="132">
        <f>IF($H$5&lt;2,0,IF(ISBLANK($M29)=TRUE,2,IF($M29="N",0,IF($M29=" ",0,2))))</f>
        <v>0</v>
      </c>
      <c r="CJ91" s="128" t="s">
        <v>415</v>
      </c>
      <c r="CK91" s="128"/>
      <c r="CL91" s="128"/>
      <c r="CM91" s="128"/>
      <c r="CN91" s="128"/>
      <c r="CO91" s="128"/>
      <c r="CP91" s="128"/>
      <c r="CQ91" s="37"/>
      <c r="CX91" s="62" t="s">
        <v>34</v>
      </c>
      <c r="CY91" s="62"/>
      <c r="CZ91" s="62" t="s">
        <v>188</v>
      </c>
      <c r="DA91" s="62" t="s">
        <v>68</v>
      </c>
      <c r="DB91" s="62" t="s">
        <v>68</v>
      </c>
      <c r="DC91" s="62"/>
      <c r="DD91" s="62" t="s">
        <v>188</v>
      </c>
      <c r="DE91" s="62" t="s">
        <v>68</v>
      </c>
      <c r="DF91" s="62" t="s">
        <v>68</v>
      </c>
      <c r="DG91" s="62" t="s">
        <v>68</v>
      </c>
      <c r="DH91" s="62" t="s">
        <v>68</v>
      </c>
      <c r="DI91" s="27"/>
      <c r="DJ91" s="27"/>
      <c r="DK91" s="27"/>
      <c r="DL91" s="27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3" t="s">
        <v>198</v>
      </c>
      <c r="EK91" s="84">
        <f>ROUND(EX74,4)</f>
        <v>0.80800000000000005</v>
      </c>
      <c r="EL91" s="84">
        <f>ROUND(EX74,4)</f>
        <v>0.80800000000000005</v>
      </c>
      <c r="EM91" s="84">
        <f>ROUND(EX57,4)</f>
        <v>0.80800000000000005</v>
      </c>
      <c r="EN91" s="84">
        <f>ROUND(EX74,4)</f>
        <v>0.80800000000000005</v>
      </c>
      <c r="EO91" s="149" t="s">
        <v>257</v>
      </c>
      <c r="EP91" s="149" t="s">
        <v>257</v>
      </c>
      <c r="EQ91" s="149" t="s">
        <v>257</v>
      </c>
      <c r="ER91" s="149" t="s">
        <v>257</v>
      </c>
      <c r="ES91" s="149" t="s">
        <v>257</v>
      </c>
      <c r="ET91" s="22" t="s">
        <v>550</v>
      </c>
      <c r="EU91" s="22" t="s">
        <v>551</v>
      </c>
      <c r="EV91" s="22" t="s">
        <v>551</v>
      </c>
      <c r="EW91" s="22" t="s">
        <v>551</v>
      </c>
      <c r="EX91" s="22" t="s">
        <v>551</v>
      </c>
      <c r="FH91" s="352"/>
      <c r="FI91" s="425">
        <v>0</v>
      </c>
      <c r="FJ91" s="424">
        <f t="shared" si="54"/>
        <v>420</v>
      </c>
      <c r="FK91" s="424">
        <v>355</v>
      </c>
      <c r="FL91" s="424" t="s">
        <v>93</v>
      </c>
      <c r="FM91" s="424">
        <v>420</v>
      </c>
      <c r="FN91" s="424">
        <v>475</v>
      </c>
      <c r="FO91" s="424" t="s">
        <v>722</v>
      </c>
      <c r="FP91" s="427"/>
      <c r="FQ91" s="427"/>
      <c r="FW91" s="360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3" t="s">
        <v>198</v>
      </c>
      <c r="GL91" s="84">
        <f>ROUND(GY74,4)</f>
        <v>0.80800000000000005</v>
      </c>
      <c r="GM91" s="84">
        <f>ROUND(GY74,4)</f>
        <v>0.80800000000000005</v>
      </c>
      <c r="GN91" s="86"/>
      <c r="GO91" s="86"/>
      <c r="GP91" s="149" t="s">
        <v>257</v>
      </c>
      <c r="GQ91" s="149" t="s">
        <v>257</v>
      </c>
      <c r="GR91" s="149" t="s">
        <v>257</v>
      </c>
      <c r="GS91" s="149" t="s">
        <v>257</v>
      </c>
      <c r="GT91" s="149" t="s">
        <v>257</v>
      </c>
      <c r="GU91" s="22" t="s">
        <v>550</v>
      </c>
      <c r="GV91" s="22" t="s">
        <v>551</v>
      </c>
      <c r="GW91" s="22" t="s">
        <v>551</v>
      </c>
      <c r="GX91" s="22" t="s">
        <v>551</v>
      </c>
      <c r="GY91" s="22" t="s">
        <v>551</v>
      </c>
    </row>
    <row r="92" spans="39:207" ht="14.1" hidden="1" customHeight="1">
      <c r="BY92" s="130"/>
      <c r="BZ92" s="136"/>
      <c r="CA92" s="128">
        <f t="shared" ref="CA92:CA111" si="55">CA91+2</f>
        <v>4</v>
      </c>
      <c r="CB92" s="129">
        <f>IF(SUM(CC91)=0,CC92,0)</f>
        <v>0</v>
      </c>
      <c r="CC92" s="129">
        <f>IF(H$5&lt;4,0,IF(K30="G",0,IF(K30="C",0,IF(K30="M",0,IF(K30="K",0,IF(AND(OR($H$11="FULL",$H$11="AUTO"),OR($H$8=1,$H$8="3Y"),K30="D"),0,4))))))</f>
        <v>0</v>
      </c>
      <c r="CD92" s="128" t="str">
        <f>IF($H$11="NONE","ENTER CIRCUIT #4 LOAD IDENTIFIER  ( G, C, M, K )",IF($H$8="3D","ENTER CIRCUIT #4 LOAD IDENTIFIER  ( G, C, M, K )","ENTER CIRCUIT #4 LOAD IDENTIFIER  ( G, D, C, M, K )"))</f>
        <v>ENTER CIRCUIT #4 LOAD IDENTIFIER  ( G, D, C, M, K )</v>
      </c>
      <c r="CE92" s="129">
        <f>IF(SUM(CF91)=0,CF92,0)</f>
        <v>0</v>
      </c>
      <c r="CF92" s="129">
        <f>IF(H$5&lt;4,0,IF(ISBLANK(L30)=TRUE,4,IF(L30=" ",0,IF(L30="H",0,4))))</f>
        <v>0</v>
      </c>
      <c r="CG92" s="128" t="s">
        <v>140</v>
      </c>
      <c r="CH92" s="129">
        <f>IF(SUM(CI91)=0,CI92,0)</f>
        <v>0</v>
      </c>
      <c r="CI92" s="132">
        <f>IF($H$5&lt;4,0,IF(ISBLANK($M30)=TRUE,4,IF($M30=" ",0,IF(AND($H$8&lt;&gt;"3D",$M30="N"),0,4))))</f>
        <v>0</v>
      </c>
      <c r="CJ92" s="128" t="str">
        <f>IF($H$8&lt;&gt;"3D","ENTER CIRCUIT #4 NEUTRAL IDENTIFIER  ( N or SPACE )","ENTER CIRCUIT #4 NEUTRAL IDENTIFIER  ( SPACE )")</f>
        <v>ENTER CIRCUIT #4 NEUTRAL IDENTIFIER  ( N or SPACE )</v>
      </c>
      <c r="CK92" s="128"/>
      <c r="CL92" s="128"/>
      <c r="CM92" s="128"/>
      <c r="CN92" s="128"/>
      <c r="CO92" s="128"/>
      <c r="CP92" s="128"/>
      <c r="CQ92" s="37"/>
      <c r="CX92" s="62" t="s">
        <v>48</v>
      </c>
      <c r="CY92" s="62"/>
      <c r="CZ92" s="62" t="s">
        <v>190</v>
      </c>
      <c r="DA92" s="62" t="s">
        <v>38</v>
      </c>
      <c r="DB92" s="62" t="s">
        <v>7</v>
      </c>
      <c r="DC92" s="62"/>
      <c r="DD92" s="62" t="s">
        <v>190</v>
      </c>
      <c r="DE92" s="62" t="s">
        <v>38</v>
      </c>
      <c r="DF92" s="62" t="s">
        <v>7</v>
      </c>
      <c r="DG92" s="62" t="s">
        <v>38</v>
      </c>
      <c r="DH92" s="62" t="s">
        <v>7</v>
      </c>
      <c r="DI92" s="27"/>
      <c r="DJ92" s="27"/>
      <c r="DK92" s="27"/>
      <c r="DL92" s="27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3" t="s">
        <v>199</v>
      </c>
      <c r="EK92" s="292">
        <f>ROUND(EK80,1)</f>
        <v>0</v>
      </c>
      <c r="EL92" s="292">
        <f>ROUND(EL80,1)</f>
        <v>0</v>
      </c>
      <c r="EM92" s="292">
        <f>ROUND(EM80,1)</f>
        <v>0</v>
      </c>
      <c r="EN92" s="292">
        <f>ROUND(EN80,1)</f>
        <v>0</v>
      </c>
      <c r="EO92" s="149" t="s">
        <v>258</v>
      </c>
      <c r="EP92" s="153" t="str">
        <f>TEXT(EK90, "#,##0")</f>
        <v>50</v>
      </c>
      <c r="EQ92" s="153" t="str">
        <f>TEXT(EL90, "#,##0")</f>
        <v>50</v>
      </c>
      <c r="ER92" s="153" t="str">
        <f>TEXT(EM90, "#,##0")</f>
        <v>50</v>
      </c>
      <c r="ES92" s="153" t="str">
        <f>ER92</f>
        <v>50</v>
      </c>
      <c r="ET92" s="22" t="s">
        <v>143</v>
      </c>
      <c r="EU92" s="31">
        <f>EK58</f>
        <v>240</v>
      </c>
      <c r="EV92" s="31">
        <f>EK58</f>
        <v>240</v>
      </c>
      <c r="EW92" s="31">
        <f>EK58</f>
        <v>240</v>
      </c>
      <c r="EX92" s="31">
        <f>EK58</f>
        <v>240</v>
      </c>
      <c r="FH92" s="353"/>
      <c r="FI92" s="425">
        <f>FJ91+0.001</f>
        <v>420.00099999999998</v>
      </c>
      <c r="FJ92" s="425">
        <f t="shared" si="54"/>
        <v>460</v>
      </c>
      <c r="FK92" s="425">
        <v>385</v>
      </c>
      <c r="FL92" s="425" t="s">
        <v>97</v>
      </c>
      <c r="FM92" s="425">
        <v>460</v>
      </c>
      <c r="FN92" s="425">
        <v>520</v>
      </c>
      <c r="FO92" s="425" t="s">
        <v>723</v>
      </c>
      <c r="FP92" s="427"/>
      <c r="FQ92" s="427"/>
      <c r="FW92" s="360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3" t="s">
        <v>199</v>
      </c>
      <c r="GL92" s="292">
        <f>ROUND(GL80,1)</f>
        <v>0</v>
      </c>
      <c r="GM92" s="292">
        <f>ROUND(GL80,1)</f>
        <v>0</v>
      </c>
      <c r="GN92" s="86"/>
      <c r="GO92" s="86"/>
      <c r="GP92" s="149" t="s">
        <v>258</v>
      </c>
      <c r="GQ92" s="153" t="str">
        <f>TEXT(GL90, "#,##0")</f>
        <v>0</v>
      </c>
      <c r="GR92" s="153" t="str">
        <f>TEXT(GM90, "#,##0")</f>
        <v>0</v>
      </c>
      <c r="GS92" s="153" t="str">
        <f>TEXT(GN90, "#,##0")</f>
        <v>0</v>
      </c>
      <c r="GT92" s="153" t="str">
        <f>GS92</f>
        <v>0</v>
      </c>
      <c r="GU92" s="22" t="s">
        <v>143</v>
      </c>
      <c r="GV92" s="31">
        <f>GL58</f>
        <v>240</v>
      </c>
      <c r="GW92" s="31">
        <f>GL58</f>
        <v>240</v>
      </c>
      <c r="GX92" s="31">
        <f>GL58</f>
        <v>240</v>
      </c>
      <c r="GY92" s="31">
        <f>GL58</f>
        <v>240</v>
      </c>
    </row>
    <row r="93" spans="39:207" ht="14.1" hidden="1" customHeight="1">
      <c r="BY93" s="130"/>
      <c r="BZ93" s="136"/>
      <c r="CA93" s="128">
        <f t="shared" si="55"/>
        <v>6</v>
      </c>
      <c r="CB93" s="129">
        <f>IF(SUM(CB$91:CB92)=0,CC93,0)</f>
        <v>0</v>
      </c>
      <c r="CC93" s="129">
        <f>IF(H$5&lt;6,0,IF(K31="G",0,IF(K31="C",0,IF(K31="M",0,IF(K31="K",0,IF(AND(OR($H$11="FULL",$H$11="AUTO"),K31="D"),0,6))))))</f>
        <v>0</v>
      </c>
      <c r="CD93" s="128" t="str">
        <f>IF($H$11="NONE","ENTER CIRCUIT #6 LOAD IDENTIFIER  ( G, C, M, K )","ENTER CIRCUIT #6 LOAD IDENTIFIER  ( G, D, C, M, K )")</f>
        <v>ENTER CIRCUIT #6 LOAD IDENTIFIER  ( G, D, C, M, K )</v>
      </c>
      <c r="CE93" s="129">
        <f>IF(SUM(CE91:CE92)=0,CF93,0)</f>
        <v>0</v>
      </c>
      <c r="CF93" s="129">
        <f>IF(H$5&lt;6,0,IF(ISBLANK(L31)=TRUE,6,IF(L31=" ",0,IF(L31="H",0,6))))</f>
        <v>0</v>
      </c>
      <c r="CG93" s="128" t="s">
        <v>142</v>
      </c>
      <c r="CH93" s="129">
        <f>IF(SUM(CH$91:CH92)=0,CI93,0)</f>
        <v>0</v>
      </c>
      <c r="CI93" s="132">
        <f>IF($H$5&lt;6,0,IF(ISBLANK($M31)=TRUE,6,IF($M31="N",0,IF($M31=" ",0,6))))</f>
        <v>0</v>
      </c>
      <c r="CJ93" s="128" t="s">
        <v>416</v>
      </c>
      <c r="CK93" s="128"/>
      <c r="CL93" s="128"/>
      <c r="CM93" s="128"/>
      <c r="CN93" s="128"/>
      <c r="CO93" s="128"/>
      <c r="CP93" s="128"/>
      <c r="CQ93" s="37"/>
      <c r="CX93" s="58">
        <v>0</v>
      </c>
      <c r="CY93" s="58"/>
      <c r="CZ93" s="58">
        <v>60</v>
      </c>
      <c r="DA93" s="58" t="str">
        <f t="shared" ref="DA93:DA102" si="56">IF($CY$62="CU",DE93,IF($CY$62="AL",DG93,"ERR"))</f>
        <v>#8</v>
      </c>
      <c r="DB93" s="58">
        <f t="shared" ref="DB93:DB102" si="57">IF($CY$62="CU",DF93,IF($CY$62="AL",DH93,"ERR"))</f>
        <v>4</v>
      </c>
      <c r="DC93" s="58"/>
      <c r="DD93" s="58">
        <v>60</v>
      </c>
      <c r="DE93" s="58" t="s">
        <v>169</v>
      </c>
      <c r="DF93" s="58">
        <v>3</v>
      </c>
      <c r="DG93" s="58" t="s">
        <v>173</v>
      </c>
      <c r="DH93" s="58">
        <v>4</v>
      </c>
      <c r="DI93" s="27"/>
      <c r="DJ93" s="27"/>
      <c r="DK93" s="27"/>
      <c r="DL93" s="27"/>
      <c r="DV93" s="22"/>
      <c r="DW93" s="22"/>
      <c r="DX93" s="22"/>
      <c r="DY93" s="22"/>
      <c r="DZ93" s="22"/>
      <c r="EA93" s="22"/>
      <c r="EB93" s="31"/>
      <c r="EC93" s="31" t="str">
        <f>IF(DX87&gt;0,EC87,"")</f>
        <v xml:space="preserve"> 3-#6 THHN AL</v>
      </c>
      <c r="ED93" s="22"/>
      <c r="EE93" s="22"/>
      <c r="EF93" s="22"/>
      <c r="EG93" s="22"/>
      <c r="EH93" s="22"/>
      <c r="EI93" s="22"/>
      <c r="EJ93" s="23" t="s">
        <v>135</v>
      </c>
      <c r="EK93" s="22"/>
      <c r="EL93" s="22"/>
      <c r="EM93" s="22"/>
      <c r="EN93" s="22"/>
      <c r="EO93" s="149" t="s">
        <v>257</v>
      </c>
      <c r="EP93" s="282" t="s">
        <v>538</v>
      </c>
      <c r="EQ93" s="282" t="s">
        <v>538</v>
      </c>
      <c r="ER93" s="282" t="s">
        <v>538</v>
      </c>
      <c r="ES93" s="282" t="s">
        <v>538</v>
      </c>
      <c r="ET93" s="22" t="s">
        <v>257</v>
      </c>
      <c r="EU93" s="22" t="s">
        <v>540</v>
      </c>
      <c r="EV93" s="22" t="s">
        <v>540</v>
      </c>
      <c r="EW93" s="22" t="s">
        <v>540</v>
      </c>
      <c r="EX93" s="22" t="s">
        <v>540</v>
      </c>
      <c r="FH93" s="353"/>
      <c r="FI93" s="425">
        <f t="shared" ref="FI93:FI100" si="58">FJ92+0.001</f>
        <v>460.00099999999998</v>
      </c>
      <c r="FJ93" s="425">
        <f t="shared" si="54"/>
        <v>475</v>
      </c>
      <c r="FK93" s="425">
        <v>400</v>
      </c>
      <c r="FL93" s="425" t="s">
        <v>97</v>
      </c>
      <c r="FM93" s="425">
        <v>475</v>
      </c>
      <c r="FN93" s="425">
        <v>535</v>
      </c>
      <c r="FO93" s="425" t="s">
        <v>724</v>
      </c>
      <c r="FP93" s="427"/>
      <c r="FQ93" s="427"/>
      <c r="FW93" s="360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3" t="s">
        <v>135</v>
      </c>
      <c r="GL93" s="22"/>
      <c r="GM93" s="22"/>
      <c r="GN93" s="86"/>
      <c r="GO93" s="86"/>
      <c r="GP93" s="149" t="s">
        <v>257</v>
      </c>
      <c r="GQ93" s="282" t="s">
        <v>538</v>
      </c>
      <c r="GR93" s="282" t="s">
        <v>538</v>
      </c>
      <c r="GS93" s="282" t="s">
        <v>538</v>
      </c>
      <c r="GT93" s="282" t="s">
        <v>538</v>
      </c>
      <c r="GU93" s="22" t="s">
        <v>257</v>
      </c>
      <c r="GV93" s="22" t="s">
        <v>540</v>
      </c>
      <c r="GW93" s="22" t="s">
        <v>540</v>
      </c>
      <c r="GX93" s="22" t="s">
        <v>540</v>
      </c>
      <c r="GY93" s="22" t="s">
        <v>540</v>
      </c>
    </row>
    <row r="94" spans="39:207" ht="14.1" hidden="1" customHeight="1">
      <c r="BY94" s="130"/>
      <c r="BZ94" s="136"/>
      <c r="CA94" s="128">
        <f t="shared" si="55"/>
        <v>8</v>
      </c>
      <c r="CB94" s="129">
        <f>IF(SUM(CB$91:CB93)=0,CC94,0)</f>
        <v>0</v>
      </c>
      <c r="CC94" s="129">
        <f>IF(H$5&lt;8,0,IF(K32="G",0,IF(K32="C",0,IF(K32="M",0,IF(K32="K",0,IF(AND(OR($H$11="FULL",$H$11="AUTO"),K32="D"),0,8))))))</f>
        <v>0</v>
      </c>
      <c r="CD94" s="128" t="str">
        <f>IF($H$11="NONE","ENTER CIRCUIT #8 LOAD IDENTIFIER  ( G, C, M, K )","ENTER CIRCUIT #8 LOAD IDENTIFIER  ( G, D, C, M, K )")</f>
        <v>ENTER CIRCUIT #8 LOAD IDENTIFIER  ( G, D, C, M, K )</v>
      </c>
      <c r="CE94" s="129">
        <f>IF(SUM(CE$91:CE93)=0,CF94,0)</f>
        <v>0</v>
      </c>
      <c r="CF94" s="129">
        <f>IF(H$5&lt;8,0,IF(ISBLANK(L32)=TRUE,8,IF(L32=" ",0,IF(L32="H",0,8))))</f>
        <v>0</v>
      </c>
      <c r="CG94" s="128" t="s">
        <v>145</v>
      </c>
      <c r="CH94" s="129">
        <f>IF(SUM(CH$91:CH93)=0,CI94,0)</f>
        <v>0</v>
      </c>
      <c r="CI94" s="132">
        <f>IF($H$5&lt;8,0,IF(ISBLANK($M32)=TRUE,8,IF($M32="N",0,IF($M32=" ",0,8))))</f>
        <v>0</v>
      </c>
      <c r="CJ94" s="128" t="s">
        <v>417</v>
      </c>
      <c r="CK94" s="128"/>
      <c r="CL94" s="128"/>
      <c r="CM94" s="128"/>
      <c r="CN94" s="128"/>
      <c r="CO94" s="128"/>
      <c r="CP94" s="128"/>
      <c r="CQ94" s="37"/>
      <c r="CX94" s="62">
        <f t="shared" ref="CX94:CX102" si="59">CZ93+0.00001</f>
        <v>60.000010000000003</v>
      </c>
      <c r="CY94" s="62"/>
      <c r="CZ94" s="62">
        <v>100</v>
      </c>
      <c r="DA94" s="62" t="str">
        <f t="shared" si="56"/>
        <v>#6</v>
      </c>
      <c r="DB94" s="62">
        <f t="shared" si="57"/>
        <v>5</v>
      </c>
      <c r="DC94" s="62"/>
      <c r="DD94" s="62">
        <v>100</v>
      </c>
      <c r="DE94" s="62" t="s">
        <v>173</v>
      </c>
      <c r="DF94" s="62">
        <v>4</v>
      </c>
      <c r="DG94" s="62" t="s">
        <v>76</v>
      </c>
      <c r="DH94" s="62">
        <v>5</v>
      </c>
      <c r="DI94" s="27"/>
      <c r="DJ94" s="27"/>
      <c r="DK94" s="27"/>
      <c r="DL94" s="27"/>
      <c r="DV94" s="22"/>
      <c r="DW94" s="22"/>
      <c r="DX94" s="22"/>
      <c r="DY94" s="22"/>
      <c r="DZ94" s="22"/>
      <c r="EA94" s="22"/>
      <c r="EB94" s="22"/>
      <c r="EC94" s="31" t="str">
        <f>IF(DX88&gt;0,EC88,IF(DX89&gt;0,EC89,IF(AND(SUM(DX88:DX89)=0,DX90&gt;0),EC90,"")))</f>
        <v xml:space="preserve"> 1-#8 AL GND</v>
      </c>
      <c r="ED94" s="22"/>
      <c r="EE94" s="22"/>
      <c r="EF94" s="22"/>
      <c r="EG94" s="22"/>
      <c r="EH94" s="22"/>
      <c r="EI94" s="22"/>
      <c r="EJ94" s="23" t="s">
        <v>200</v>
      </c>
      <c r="EK94" s="39">
        <v>1000</v>
      </c>
      <c r="EL94" s="39">
        <v>1000</v>
      </c>
      <c r="EM94" s="39">
        <v>1000</v>
      </c>
      <c r="EN94" s="39">
        <v>1000</v>
      </c>
      <c r="EO94" s="149" t="s">
        <v>259</v>
      </c>
      <c r="EP94" s="192" t="str">
        <f>TEXT(EK91, "0.0000")</f>
        <v>0.8080</v>
      </c>
      <c r="EQ94" s="192" t="str">
        <f>TEXT(EL91, "0.0000")</f>
        <v>0.8080</v>
      </c>
      <c r="ER94" s="192" t="str">
        <f>TEXT(EM91, "0.0000")</f>
        <v>0.8080</v>
      </c>
      <c r="ES94" s="192" t="str">
        <f>TEXT(EN91, "0.0000")</f>
        <v>0.8080</v>
      </c>
      <c r="ET94" s="22">
        <v>100</v>
      </c>
      <c r="EU94" s="22">
        <v>100</v>
      </c>
      <c r="EV94" s="22">
        <v>100</v>
      </c>
      <c r="EW94" s="22">
        <v>100</v>
      </c>
      <c r="EX94" s="22">
        <v>100</v>
      </c>
      <c r="FH94" s="353"/>
      <c r="FI94" s="425">
        <f t="shared" si="58"/>
        <v>475.00099999999998</v>
      </c>
      <c r="FJ94" s="425">
        <f t="shared" si="54"/>
        <v>490</v>
      </c>
      <c r="FK94" s="425">
        <v>410</v>
      </c>
      <c r="FL94" s="425" t="s">
        <v>97</v>
      </c>
      <c r="FM94" s="425">
        <v>490</v>
      </c>
      <c r="FN94" s="425">
        <v>555</v>
      </c>
      <c r="FO94" s="425" t="s">
        <v>725</v>
      </c>
      <c r="FP94" s="427"/>
      <c r="FQ94" s="427"/>
      <c r="FW94" s="360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3" t="s">
        <v>200</v>
      </c>
      <c r="GL94" s="39">
        <v>1000</v>
      </c>
      <c r="GM94" s="39">
        <v>1000</v>
      </c>
      <c r="GN94" s="86"/>
      <c r="GO94" s="86"/>
      <c r="GP94" s="149" t="s">
        <v>259</v>
      </c>
      <c r="GQ94" s="192" t="str">
        <f>TEXT(GL91, "0.0000")</f>
        <v>0.8080</v>
      </c>
      <c r="GR94" s="192" t="str">
        <f>TEXT(GM91, "0.0000")</f>
        <v>0.8080</v>
      </c>
      <c r="GS94" s="192" t="str">
        <f>TEXT(GN91, "0.0000")</f>
        <v>0.0000</v>
      </c>
      <c r="GT94" s="192" t="str">
        <f>TEXT(GO91, "0.0000")</f>
        <v>0.0000</v>
      </c>
      <c r="GU94" s="22">
        <v>100</v>
      </c>
      <c r="GV94" s="22">
        <v>100</v>
      </c>
      <c r="GW94" s="22">
        <v>100</v>
      </c>
      <c r="GX94" s="22">
        <v>100</v>
      </c>
      <c r="GY94" s="22">
        <v>100</v>
      </c>
    </row>
    <row r="95" spans="39:207" ht="14.1" hidden="1" customHeight="1">
      <c r="BY95" s="130"/>
      <c r="BZ95" s="136"/>
      <c r="CA95" s="128">
        <f t="shared" si="55"/>
        <v>10</v>
      </c>
      <c r="CB95" s="129">
        <f>IF(SUM(CB$91:CB94)=0,CC95,0)</f>
        <v>0</v>
      </c>
      <c r="CC95" s="129">
        <f>IF(H$5&lt;10,0,IF(K33="G",0,IF(K33="C",0,IF(K33="M",0,IF(K33="K",0,IF(AND(OR($H$11="FULL",$H$11="AUTO"),OR($H$8=1,$H$8="3Y"),K33="D"),0,10))))))</f>
        <v>0</v>
      </c>
      <c r="CD95" s="128" t="str">
        <f>IF($H$11="NONE","ENTER CIRCUIT #10 LOAD IDENTIFIER  ( G, C, M, K )",IF($H$8="3D","ENTER CIRCUIT #10 LOAD IDENTIFIER  ( G, C, M, K )","ENTER CIRCUIT #10 LOAD IDENTIFIER  ( G, D, C, M, K )"))</f>
        <v>ENTER CIRCUIT #10 LOAD IDENTIFIER  ( G, D, C, M, K )</v>
      </c>
      <c r="CE95" s="129">
        <f>IF(SUM(CE$91:CE94)=0,CF95,0)</f>
        <v>0</v>
      </c>
      <c r="CF95" s="129">
        <f>IF(H$5&lt;10,0,IF(ISBLANK(L33)=TRUE,10,IF(L33=" ",0,IF(L33="H",0,10))))</f>
        <v>0</v>
      </c>
      <c r="CG95" s="128" t="s">
        <v>146</v>
      </c>
      <c r="CH95" s="129">
        <f>IF(SUM(CH$91:CH94)=0,CI95,0)</f>
        <v>0</v>
      </c>
      <c r="CI95" s="132">
        <f>IF($H$5&lt;10,0,IF(ISBLANK($M33)=TRUE,10,IF($M33=" ",0,IF(AND($H$8&lt;&gt;"3D",$M33="N"),0,10))))</f>
        <v>0</v>
      </c>
      <c r="CJ95" s="128" t="str">
        <f>IF($H$8&lt;&gt;"3D","ENTER CIRCUIT #10 NEUTRAL IDENTIFIER  ( N or SPACE )","ENTER CIRCUIT #10 NEUTRAL IDENTIFIER  ( SPACE )")</f>
        <v>ENTER CIRCUIT #10 NEUTRAL IDENTIFIER  ( N or SPACE )</v>
      </c>
      <c r="CK95" s="128"/>
      <c r="CL95" s="128"/>
      <c r="CM95" s="128"/>
      <c r="CN95" s="128"/>
      <c r="CO95" s="128"/>
      <c r="CP95" s="128"/>
      <c r="CQ95" s="37"/>
      <c r="CX95" s="62">
        <f t="shared" si="59"/>
        <v>100.00001</v>
      </c>
      <c r="CY95" s="62"/>
      <c r="CZ95" s="62">
        <v>200</v>
      </c>
      <c r="DA95" s="62" t="str">
        <f t="shared" si="56"/>
        <v>#4</v>
      </c>
      <c r="DB95" s="62">
        <f t="shared" si="57"/>
        <v>6</v>
      </c>
      <c r="DC95" s="62"/>
      <c r="DD95" s="62">
        <v>200</v>
      </c>
      <c r="DE95" s="62" t="s">
        <v>76</v>
      </c>
      <c r="DF95" s="62">
        <v>5</v>
      </c>
      <c r="DG95" s="62" t="s">
        <v>80</v>
      </c>
      <c r="DH95" s="62">
        <v>6</v>
      </c>
      <c r="DI95" s="27"/>
      <c r="DJ95" s="27"/>
      <c r="DK95" s="27"/>
      <c r="DL95" s="27"/>
      <c r="DV95" s="22"/>
      <c r="DW95" s="22"/>
      <c r="DX95" s="22"/>
      <c r="DY95" s="22"/>
      <c r="DZ95" s="22"/>
      <c r="EA95" s="22"/>
      <c r="EB95" s="22"/>
      <c r="EC95" s="22" t="str">
        <f>IF(AND(DX88&gt;0,DX89&gt;0),EC89,IF(AND(SUM(DX88:DX89)=1,DX90&gt;0),EC90,""))</f>
        <v/>
      </c>
      <c r="ED95" s="22"/>
      <c r="EE95" s="22"/>
      <c r="EF95" s="22"/>
      <c r="EG95" s="22"/>
      <c r="EH95" s="22"/>
      <c r="EI95" s="22"/>
      <c r="EJ95" s="23" t="s">
        <v>135</v>
      </c>
      <c r="EK95" s="22"/>
      <c r="EL95" s="22"/>
      <c r="EM95" s="22"/>
      <c r="EN95" s="22"/>
      <c r="EO95" s="149" t="s">
        <v>257</v>
      </c>
      <c r="EP95" s="149" t="s">
        <v>539</v>
      </c>
      <c r="EQ95" s="149" t="s">
        <v>539</v>
      </c>
      <c r="ER95" s="149" t="s">
        <v>539</v>
      </c>
      <c r="ES95" s="149" t="s">
        <v>539</v>
      </c>
      <c r="ET95" s="22" t="s">
        <v>263</v>
      </c>
      <c r="EU95" s="22" t="str">
        <f>ET95</f>
        <v xml:space="preserve"> ) = </v>
      </c>
      <c r="EV95" s="22" t="str">
        <f>EU95</f>
        <v xml:space="preserve"> ) = </v>
      </c>
      <c r="EW95" s="22" t="str">
        <f>EV95</f>
        <v xml:space="preserve"> ) = </v>
      </c>
      <c r="EX95" s="22" t="str">
        <f>EW95</f>
        <v xml:space="preserve"> ) = </v>
      </c>
      <c r="FH95" s="353"/>
      <c r="FI95" s="425">
        <f t="shared" si="58"/>
        <v>490.00099999999998</v>
      </c>
      <c r="FJ95" s="425">
        <f t="shared" si="54"/>
        <v>520</v>
      </c>
      <c r="FK95" s="425">
        <v>435</v>
      </c>
      <c r="FL95" s="425" t="s">
        <v>97</v>
      </c>
      <c r="FM95" s="425">
        <v>520</v>
      </c>
      <c r="FN95" s="425">
        <v>585</v>
      </c>
      <c r="FO95" s="425" t="s">
        <v>726</v>
      </c>
      <c r="FP95" s="427"/>
      <c r="FQ95" s="427"/>
      <c r="FW95" s="360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3" t="s">
        <v>135</v>
      </c>
      <c r="GL95" s="22"/>
      <c r="GM95" s="22"/>
      <c r="GN95" s="86"/>
      <c r="GO95" s="86"/>
      <c r="GP95" s="149" t="s">
        <v>257</v>
      </c>
      <c r="GQ95" s="149" t="s">
        <v>539</v>
      </c>
      <c r="GR95" s="149" t="s">
        <v>539</v>
      </c>
      <c r="GS95" s="149" t="s">
        <v>539</v>
      </c>
      <c r="GT95" s="149" t="s">
        <v>539</v>
      </c>
      <c r="GU95" s="22" t="s">
        <v>263</v>
      </c>
      <c r="GV95" s="22" t="str">
        <f>GU95</f>
        <v xml:space="preserve"> ) = </v>
      </c>
      <c r="GW95" s="22" t="str">
        <f>GV95</f>
        <v xml:space="preserve"> ) = </v>
      </c>
      <c r="GX95" s="22" t="str">
        <f>GW95</f>
        <v xml:space="preserve"> ) = </v>
      </c>
      <c r="GY95" s="22" t="str">
        <f>GX95</f>
        <v xml:space="preserve"> ) = </v>
      </c>
    </row>
    <row r="96" spans="39:207" ht="14.1" hidden="1" customHeight="1">
      <c r="BY96" s="130"/>
      <c r="BZ96" s="136"/>
      <c r="CA96" s="128">
        <f t="shared" si="55"/>
        <v>12</v>
      </c>
      <c r="CB96" s="129">
        <f>IF(SUM(CB$91:CB95)=0,CC96,0)</f>
        <v>0</v>
      </c>
      <c r="CC96" s="129">
        <f>IF(H$5&lt;12,0,IF(K34="G",0,IF(K34="C",0,IF(K34="M",0,IF(K34="K",0,IF(AND(OR($H$11="FULL",$H$11="AUTO"),K34="D"),0,12))))))</f>
        <v>0</v>
      </c>
      <c r="CD96" s="128" t="str">
        <f>IF($H$11="NONE","ENTER CIRCUIT #12 LOAD IDENTIFIER  ( G, C, M, K )","ENTER CIRCUIT #12 LOAD IDENTIFIER  ( G, D, C, M, K )")</f>
        <v>ENTER CIRCUIT #12 LOAD IDENTIFIER  ( G, D, C, M, K )</v>
      </c>
      <c r="CE96" s="129">
        <f>IF(SUM(CE$91:CE95)=0,CF96,0)</f>
        <v>0</v>
      </c>
      <c r="CF96" s="129">
        <f>IF(H$5&lt;12,0,IF(ISBLANK(L34)=TRUE,12,IF(L34=" ",0,IF(L34="H",0,12))))</f>
        <v>0</v>
      </c>
      <c r="CG96" s="128" t="s">
        <v>148</v>
      </c>
      <c r="CH96" s="129">
        <f>IF(SUM(CH$91:CH95)=0,CI96,0)</f>
        <v>0</v>
      </c>
      <c r="CI96" s="132">
        <f>IF($H$5&lt;12,0,IF(ISBLANK($M34)=TRUE,12,IF($M34="N",0,IF($M34=" ",0,12))))</f>
        <v>0</v>
      </c>
      <c r="CJ96" s="128" t="s">
        <v>418</v>
      </c>
      <c r="CK96" s="128"/>
      <c r="CL96" s="128"/>
      <c r="CM96" s="128"/>
      <c r="CN96" s="128"/>
      <c r="CO96" s="128"/>
      <c r="CP96" s="128"/>
      <c r="CQ96" s="37"/>
      <c r="CX96" s="62">
        <f t="shared" si="59"/>
        <v>200.00001</v>
      </c>
      <c r="CY96" s="62"/>
      <c r="CZ96" s="62">
        <v>300</v>
      </c>
      <c r="DA96" s="62" t="str">
        <f t="shared" si="56"/>
        <v>#2</v>
      </c>
      <c r="DB96" s="62">
        <f t="shared" si="57"/>
        <v>8</v>
      </c>
      <c r="DC96" s="62"/>
      <c r="DD96" s="62">
        <v>300</v>
      </c>
      <c r="DE96" s="62" t="s">
        <v>80</v>
      </c>
      <c r="DF96" s="62">
        <v>6</v>
      </c>
      <c r="DG96" s="62" t="s">
        <v>83</v>
      </c>
      <c r="DH96" s="62">
        <v>8</v>
      </c>
      <c r="DI96" s="27"/>
      <c r="DJ96" s="27"/>
      <c r="DK96" s="27"/>
      <c r="DL96" s="27"/>
      <c r="DV96" s="22"/>
      <c r="DW96" s="22"/>
      <c r="DX96" s="22"/>
      <c r="DY96" s="22"/>
      <c r="DZ96" s="22"/>
      <c r="EA96" s="22"/>
      <c r="EB96" s="22"/>
      <c r="EC96" s="22" t="str">
        <f>IF(AND(SUM(DX88:DX89)=2,DX90&gt;0),EC90,"")</f>
        <v/>
      </c>
      <c r="ED96" s="22"/>
      <c r="EE96" s="22"/>
      <c r="EF96" s="22"/>
      <c r="EG96" s="22"/>
      <c r="EH96" s="22"/>
      <c r="EI96" s="22"/>
      <c r="EJ96" s="23" t="s">
        <v>201</v>
      </c>
      <c r="EK96" s="39">
        <v>1</v>
      </c>
      <c r="EL96" s="39">
        <v>0.86599999999999999</v>
      </c>
      <c r="EM96" s="39">
        <v>0.86599999999999999</v>
      </c>
      <c r="EN96" s="39">
        <v>1</v>
      </c>
      <c r="EO96" s="149" t="s">
        <v>260</v>
      </c>
      <c r="EP96" s="153" t="str">
        <f>TEXT(EK92, "#,##0.0")</f>
        <v>0.0</v>
      </c>
      <c r="EQ96" s="153" t="str">
        <f>TEXT(EL92, "#,##0.0")</f>
        <v>0.0</v>
      </c>
      <c r="ER96" s="153" t="str">
        <f>TEXT(EM92, "#,##0.0")</f>
        <v>0.0</v>
      </c>
      <c r="ES96" s="153" t="str">
        <f>TEXT(EN92, "#,##0.0")</f>
        <v>0.0</v>
      </c>
      <c r="ET96" s="22" t="s">
        <v>136</v>
      </c>
      <c r="EU96" s="304" t="str">
        <f>TEXT(EK99*100, "0.0")</f>
        <v>0.0</v>
      </c>
      <c r="EV96" s="304" t="str">
        <f>TEXT(EL99*100, "0.0")</f>
        <v>0.0</v>
      </c>
      <c r="EW96" s="304" t="str">
        <f>TEXT(EM99*100, "0.0")</f>
        <v>0.0</v>
      </c>
      <c r="EX96" s="304" t="str">
        <f>TEXT(EN99*100, "0.0")</f>
        <v>0.0</v>
      </c>
      <c r="FH96" s="353"/>
      <c r="FI96" s="425">
        <f t="shared" si="58"/>
        <v>520.00099999999998</v>
      </c>
      <c r="FJ96" s="425">
        <f t="shared" si="54"/>
        <v>545</v>
      </c>
      <c r="FK96" s="425">
        <v>455</v>
      </c>
      <c r="FL96" s="425" t="s">
        <v>97</v>
      </c>
      <c r="FM96" s="425">
        <v>545</v>
      </c>
      <c r="FN96" s="425">
        <v>615</v>
      </c>
      <c r="FO96" s="425" t="s">
        <v>727</v>
      </c>
      <c r="FP96" s="427"/>
      <c r="FQ96" s="427"/>
      <c r="FW96" s="360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3" t="s">
        <v>201</v>
      </c>
      <c r="GL96" s="39">
        <v>1</v>
      </c>
      <c r="GM96" s="39">
        <v>0.86599999999999999</v>
      </c>
      <c r="GN96" s="86"/>
      <c r="GO96" s="86"/>
      <c r="GP96" s="149" t="s">
        <v>260</v>
      </c>
      <c r="GQ96" s="153" t="str">
        <f>TEXT(GL92, "#,##0.0")</f>
        <v>0.0</v>
      </c>
      <c r="GR96" s="153" t="str">
        <f>TEXT(GM92, "#,##0.0")</f>
        <v>0.0</v>
      </c>
      <c r="GS96" s="153" t="str">
        <f>TEXT(GN92, "#,##0.0")</f>
        <v>0.0</v>
      </c>
      <c r="GT96" s="153" t="str">
        <f>TEXT(GO92, "#,##0.0")</f>
        <v>0.0</v>
      </c>
      <c r="GU96" s="22" t="s">
        <v>136</v>
      </c>
      <c r="GV96" s="304" t="str">
        <f>TEXT(GL99*100, "0.0")</f>
        <v>0.0</v>
      </c>
      <c r="GW96" s="304" t="str">
        <f>TEXT(GM99*100, "0.0")</f>
        <v>0.0</v>
      </c>
      <c r="GX96" s="304" t="str">
        <f>TEXT(GN99*100, "0.0")</f>
        <v>0.0</v>
      </c>
      <c r="GY96" s="304" t="str">
        <f>TEXT(GO99*100, "0.0")</f>
        <v>0.0</v>
      </c>
    </row>
    <row r="97" spans="77:207" ht="14.1" hidden="1" customHeight="1">
      <c r="BY97" s="130"/>
      <c r="BZ97" s="136"/>
      <c r="CA97" s="128">
        <f t="shared" si="55"/>
        <v>14</v>
      </c>
      <c r="CB97" s="129">
        <f>IF(SUM(CB$91:CB96)=0,CC97,0)</f>
        <v>0</v>
      </c>
      <c r="CC97" s="129">
        <f>IF(H$5&lt;14,0,IF(K35="G",0,IF(K35="C",0,IF(K35="M",0,IF(K35="K",0,IF(AND(OR($H$11="FULL",$H$11="AUTO"),K35="D"),0,14))))))</f>
        <v>0</v>
      </c>
      <c r="CD97" s="128" t="str">
        <f>IF($H$11="NONE","ENTER CIRCUIT #14 LOAD IDENTIFIER  ( G, C, M, K )","ENTER CIRCUIT #14 LOAD IDENTIFIER  ( G, D, C, M, K )")</f>
        <v>ENTER CIRCUIT #14 LOAD IDENTIFIER  ( G, D, C, M, K )</v>
      </c>
      <c r="CE97" s="129">
        <f>IF(SUM(CE$91:CE96)=0,CF97,0)</f>
        <v>0</v>
      </c>
      <c r="CF97" s="129">
        <f>IF(H$5&lt;14,0,IF(ISBLANK(L35)=TRUE,14,IF(L35=" ",0,IF(L35="H",0,14))))</f>
        <v>0</v>
      </c>
      <c r="CG97" s="128" t="s">
        <v>151</v>
      </c>
      <c r="CH97" s="129">
        <f>IF(SUM(CH$91:CH96)=0,CI97,0)</f>
        <v>0</v>
      </c>
      <c r="CI97" s="132">
        <f>IF($H$5&lt;14,0,IF(ISBLANK($M35)=TRUE,14,IF($M35="N",0,IF($M35=" ",0,14))))</f>
        <v>0</v>
      </c>
      <c r="CJ97" s="128" t="s">
        <v>419</v>
      </c>
      <c r="CK97" s="128"/>
      <c r="CL97" s="128"/>
      <c r="CM97" s="128"/>
      <c r="CN97" s="128"/>
      <c r="CO97" s="128"/>
      <c r="CP97" s="128"/>
      <c r="CQ97" s="37"/>
      <c r="CX97" s="62">
        <f t="shared" si="59"/>
        <v>300.00000999999997</v>
      </c>
      <c r="CY97" s="62"/>
      <c r="CZ97" s="62">
        <v>400</v>
      </c>
      <c r="DA97" s="62" t="str">
        <f t="shared" si="56"/>
        <v>#1</v>
      </c>
      <c r="DB97" s="62">
        <f t="shared" si="57"/>
        <v>9</v>
      </c>
      <c r="DC97" s="62"/>
      <c r="DD97" s="62">
        <v>400</v>
      </c>
      <c r="DE97" s="62" t="s">
        <v>84</v>
      </c>
      <c r="DF97" s="62">
        <v>7</v>
      </c>
      <c r="DG97" s="62" t="s">
        <v>87</v>
      </c>
      <c r="DH97" s="62">
        <v>9</v>
      </c>
      <c r="DI97" s="27"/>
      <c r="DJ97" s="27"/>
      <c r="DK97" s="27"/>
      <c r="DL97" s="27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87" t="s">
        <v>202</v>
      </c>
      <c r="EK97" s="294">
        <f>ROUND((EK89*EK90*EK91*EK92)/EK94,1)</f>
        <v>0</v>
      </c>
      <c r="EL97" s="294">
        <f>ROUND((EL89*EL90*EL91*EL92)/EL94*EL96,1)</f>
        <v>0</v>
      </c>
      <c r="EM97" s="294">
        <f>ROUND((EM89*EM90*EM91*EM92)/EM94*EM96,1)</f>
        <v>0</v>
      </c>
      <c r="EN97" s="294">
        <f>ROUND((EN89*EN90*EN91*EN92)/EN94,1)</f>
        <v>0</v>
      </c>
      <c r="EO97" s="149" t="s">
        <v>134</v>
      </c>
      <c r="EP97" s="149" t="s">
        <v>549</v>
      </c>
      <c r="EQ97" s="149" t="s">
        <v>549</v>
      </c>
      <c r="ER97" s="149" t="s">
        <v>549</v>
      </c>
      <c r="ES97" s="149" t="s">
        <v>549</v>
      </c>
      <c r="ET97" s="22" t="s">
        <v>212</v>
      </c>
      <c r="EU97" s="22" t="s">
        <v>537</v>
      </c>
      <c r="EV97" s="22" t="s">
        <v>537</v>
      </c>
      <c r="EW97" s="22" t="s">
        <v>537</v>
      </c>
      <c r="EX97" s="22" t="s">
        <v>537</v>
      </c>
      <c r="FH97" s="353"/>
      <c r="FI97" s="425">
        <f t="shared" si="58"/>
        <v>545.00099999999998</v>
      </c>
      <c r="FJ97" s="425">
        <f t="shared" si="54"/>
        <v>590</v>
      </c>
      <c r="FK97" s="425">
        <v>495</v>
      </c>
      <c r="FL97" s="425" t="s">
        <v>101</v>
      </c>
      <c r="FM97" s="425">
        <v>590</v>
      </c>
      <c r="FN97" s="425">
        <v>665</v>
      </c>
      <c r="FO97" s="425" t="s">
        <v>728</v>
      </c>
      <c r="FP97" s="427"/>
      <c r="FQ97" s="427"/>
      <c r="FW97" s="360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87" t="s">
        <v>202</v>
      </c>
      <c r="GL97" s="294">
        <f>ROUND((GL89*GL90*GL91*GL92)/GL94,1)</f>
        <v>0</v>
      </c>
      <c r="GM97" s="294">
        <f>ROUND((GM89*GM90*GM91*GM92)/GM94*GM96,1)</f>
        <v>0</v>
      </c>
      <c r="GN97" s="86"/>
      <c r="GO97" s="86"/>
      <c r="GP97" s="149" t="s">
        <v>134</v>
      </c>
      <c r="GQ97" s="149" t="s">
        <v>549</v>
      </c>
      <c r="GR97" s="149" t="s">
        <v>549</v>
      </c>
      <c r="GS97" s="149" t="s">
        <v>549</v>
      </c>
      <c r="GT97" s="149" t="s">
        <v>549</v>
      </c>
      <c r="GU97" s="22" t="s">
        <v>212</v>
      </c>
      <c r="GV97" s="22" t="s">
        <v>537</v>
      </c>
      <c r="GW97" s="22" t="s">
        <v>537</v>
      </c>
      <c r="GX97" s="22" t="s">
        <v>537</v>
      </c>
      <c r="GY97" s="22" t="s">
        <v>537</v>
      </c>
    </row>
    <row r="98" spans="77:207" ht="14.1" hidden="1" customHeight="1">
      <c r="BY98" s="130"/>
      <c r="BZ98" s="136"/>
      <c r="CA98" s="128">
        <f t="shared" si="55"/>
        <v>16</v>
      </c>
      <c r="CB98" s="129">
        <f>IF(SUM(CB$91:CB97)=0,CC98,0)</f>
        <v>0</v>
      </c>
      <c r="CC98" s="129">
        <f>IF(H$5&lt;16,0,IF(K36="G",0,IF(K36="C",0,IF(K36="M",0,IF(K36="K",0,IF(AND(OR($H$11="FULL",$H$11="AUTO"),OR($H$8=1,$H$8="3Y"),K36="D"),0,16))))))</f>
        <v>0</v>
      </c>
      <c r="CD98" s="128" t="str">
        <f>IF($H$11="NONE","ENTER CIRCUIT #16 LOAD IDENTIFIER  ( G, C, M, K )",IF($H$8="3D","ENTER CIRCUIT #16 LOAD IDENTIFIER  ( G, C, M, K )","ENTER CIRCUIT #16 LOAD IDENTIFIER  ( G, D, C, M, K )"))</f>
        <v>ENTER CIRCUIT #16 LOAD IDENTIFIER  ( G, D, C, M, K )</v>
      </c>
      <c r="CE98" s="129">
        <f>IF(SUM(CE$91:CE97)=0,CF98,0)</f>
        <v>0</v>
      </c>
      <c r="CF98" s="129">
        <f>IF(H$5&lt;16,0,IF(ISBLANK(L36)=TRUE,16,IF(L36=" ",0,IF(L36="H",0,16))))</f>
        <v>0</v>
      </c>
      <c r="CG98" s="128" t="s">
        <v>153</v>
      </c>
      <c r="CH98" s="129">
        <f>IF(SUM(CH$91:CH97)=0,CI98,0)</f>
        <v>0</v>
      </c>
      <c r="CI98" s="132">
        <f>IF($H$5&lt;16,0,IF(ISBLANK($M36)=TRUE,16,IF($M36=" ",0,IF(AND($H$8&lt;&gt;"3D",$M36="N"),0,16))))</f>
        <v>0</v>
      </c>
      <c r="CJ98" s="128" t="str">
        <f>IF($H$8&lt;&gt;"3D","ENTER CIRCUIT #16 NEUTRAL IDENTIFIER  ( N or SPACE )","ENTER CIRCUIT #16 NEUTRAL IDENTIFIER  ( SPACE )")</f>
        <v>ENTER CIRCUIT #16 NEUTRAL IDENTIFIER  ( N or SPACE )</v>
      </c>
      <c r="CK98" s="128"/>
      <c r="CL98" s="128"/>
      <c r="CM98" s="128"/>
      <c r="CN98" s="128"/>
      <c r="CO98" s="128"/>
      <c r="CP98" s="128"/>
      <c r="CQ98" s="37"/>
      <c r="CX98" s="62">
        <f t="shared" si="59"/>
        <v>400.00000999999997</v>
      </c>
      <c r="CY98" s="62"/>
      <c r="CZ98" s="62">
        <v>500</v>
      </c>
      <c r="DA98" s="62" t="str">
        <f t="shared" si="56"/>
        <v>#1/0</v>
      </c>
      <c r="DB98" s="62">
        <f t="shared" si="57"/>
        <v>10</v>
      </c>
      <c r="DC98" s="62"/>
      <c r="DD98" s="62">
        <v>500</v>
      </c>
      <c r="DE98" s="62" t="s">
        <v>83</v>
      </c>
      <c r="DF98" s="62">
        <v>8</v>
      </c>
      <c r="DG98" s="62" t="s">
        <v>93</v>
      </c>
      <c r="DH98" s="62">
        <v>10</v>
      </c>
      <c r="DI98" s="27"/>
      <c r="DJ98" s="27"/>
      <c r="DK98" s="27"/>
      <c r="DL98" s="27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88" t="s">
        <v>203</v>
      </c>
      <c r="EK98" s="301">
        <f>EK58</f>
        <v>240</v>
      </c>
      <c r="EL98" s="75">
        <f>EK98</f>
        <v>240</v>
      </c>
      <c r="EM98" s="75">
        <f>EL98</f>
        <v>240</v>
      </c>
      <c r="EN98" s="75">
        <f>EM98</f>
        <v>240</v>
      </c>
      <c r="EO98" s="149" t="str">
        <f>TEXT(1000, "#,##0")</f>
        <v>1,000</v>
      </c>
      <c r="EP98" s="149" t="str">
        <f>TEXT(1000, "#,##0")</f>
        <v>1,000</v>
      </c>
      <c r="EQ98" s="149" t="str">
        <f>TEXT(1000, "#,##0")</f>
        <v>1,000</v>
      </c>
      <c r="ER98" s="149" t="str">
        <f>TEXT(1000, "#,##0")</f>
        <v>1,000</v>
      </c>
      <c r="ES98" s="149" t="str">
        <f>TEXT(1000, "#,##0")</f>
        <v>1,000</v>
      </c>
      <c r="ET98" s="24" t="str">
        <f>CONCATENATE(ET89,ET90,ET91,ET92,ET93,ET94,ET95,ET96,ET97)</f>
        <v xml:space="preserve">( VD ÷ VOLTS X 100 ) = VD % </v>
      </c>
      <c r="EU98" s="24" t="str">
        <f>CONCATENATE(EU89,EU90,EU91,EU92,EU93,EU94,EU95,EU96,EU97)</f>
        <v>( 0.0 VD ÷ 240 V X 100 ) = 0.0 % VD</v>
      </c>
      <c r="EV98" s="24" t="str">
        <f>CONCATENATE(EV89,EV90,EV91,EV92,EV93,EV94,EV95,EV96,EV97)</f>
        <v>( 0.0 VD ÷ 240 V X 100 ) = 0.0 % VD</v>
      </c>
      <c r="EW98" s="24" t="str">
        <f>CONCATENATE(EW89,EW90,EW91,EW92,EW93,EW94,EW95,EW96,EW97)</f>
        <v>( 0.0 VD ÷ 240 V X 100 ) = 0.0 % VD</v>
      </c>
      <c r="EX98" s="24" t="str">
        <f>CONCATENATE(EX89,EX90,EX91,EX92,EX93,EX94,EX95,EX96,EX97)</f>
        <v>( 0.0 VD ÷ 240 V X 100 ) = 0.0 % VD</v>
      </c>
      <c r="FH98" s="353"/>
      <c r="FI98" s="425">
        <f t="shared" si="58"/>
        <v>590.00099999999998</v>
      </c>
      <c r="FJ98" s="425">
        <f t="shared" si="54"/>
        <v>625</v>
      </c>
      <c r="FK98" s="425">
        <v>520</v>
      </c>
      <c r="FL98" s="425" t="s">
        <v>101</v>
      </c>
      <c r="FM98" s="425">
        <v>625</v>
      </c>
      <c r="FN98" s="425">
        <v>705</v>
      </c>
      <c r="FO98" s="425" t="s">
        <v>729</v>
      </c>
      <c r="FP98" s="427"/>
      <c r="FQ98" s="427"/>
      <c r="FW98" s="360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88" t="s">
        <v>203</v>
      </c>
      <c r="GL98" s="301">
        <f>GL58</f>
        <v>240</v>
      </c>
      <c r="GM98" s="75">
        <f>GL98</f>
        <v>240</v>
      </c>
      <c r="GN98" s="86"/>
      <c r="GO98" s="86"/>
      <c r="GP98" s="149" t="str">
        <f>TEXT(1000, "#,##0")</f>
        <v>1,000</v>
      </c>
      <c r="GQ98" s="149" t="str">
        <f>TEXT(1000, "#,##0")</f>
        <v>1,000</v>
      </c>
      <c r="GR98" s="149" t="str">
        <f>TEXT(1000, "#,##0")</f>
        <v>1,000</v>
      </c>
      <c r="GS98" s="149" t="str">
        <f>TEXT(1000, "#,##0")</f>
        <v>1,000</v>
      </c>
      <c r="GT98" s="149" t="str">
        <f>TEXT(1000, "#,##0")</f>
        <v>1,000</v>
      </c>
      <c r="GU98" s="24" t="str">
        <f>CONCATENATE(GU89,GU90,GU91,GU92,GU93,GU94,GU95,GU96,GU97)</f>
        <v xml:space="preserve">( VD ÷ VOLTS X 100 ) = VD % </v>
      </c>
      <c r="GV98" s="24" t="str">
        <f>CONCATENATE(GV89,GV90,GV91,GV92,GV93,GV94,GV95,GV96,GV97)</f>
        <v>( 0.0 VD ÷ 240 V X 100 ) = 0.0 % VD</v>
      </c>
      <c r="GW98" s="24" t="str">
        <f>CONCATENATE(GW89,GW90,GW91,GW92,GW93,GW94,GW95,GW96,GW97)</f>
        <v>( 0.0 VD ÷ 240 V X 100 ) = 0.0 % VD</v>
      </c>
      <c r="GX98" s="24" t="str">
        <f>CONCATENATE(GX89,GX90,GX91,GX92,GX93,GX94,GX95,GX96,GX97)</f>
        <v>( 0.0 VD ÷ 240 V X 100 ) = 0.0 % VD</v>
      </c>
      <c r="GY98" s="24" t="str">
        <f>CONCATENATE(GY89,GY90,GY91,GY92,GY93,GY94,GY95,GY96,GY97)</f>
        <v>( 0.0 VD ÷ 240 V X 100 ) = 0.0 % VD</v>
      </c>
    </row>
    <row r="99" spans="77:207" ht="14.1" hidden="1" customHeight="1">
      <c r="BY99" s="130"/>
      <c r="BZ99" s="136"/>
      <c r="CA99" s="128">
        <f t="shared" si="55"/>
        <v>18</v>
      </c>
      <c r="CB99" s="129">
        <f>IF(SUM(CB$91:CB98)=0,CC99,0)</f>
        <v>0</v>
      </c>
      <c r="CC99" s="129">
        <f>IF(H$5&lt;18,0,IF(K37="G",0,IF(K37="C",0,IF(K37="M",0,IF(K37="K",0,IF(AND(OR($H$11="FULL",$H$11="AUTO"),K37="D"),0,18))))))</f>
        <v>0</v>
      </c>
      <c r="CD99" s="128" t="str">
        <f>IF($H$11="NONE","ENTER CIRCUIT #18 LOAD IDENTIFIER  ( G, C, M, K )","ENTER CIRCUIT #18 LOAD IDENTIFIER  ( G, D, C, M, K )")</f>
        <v>ENTER CIRCUIT #18 LOAD IDENTIFIER  ( G, D, C, M, K )</v>
      </c>
      <c r="CE99" s="129">
        <f>IF(SUM(CE$91:CE98)=0,CF99,0)</f>
        <v>0</v>
      </c>
      <c r="CF99" s="129">
        <f>IF(H$5&lt;18,0,IF(ISBLANK(L37)=TRUE,18,IF(L37=" ",0,IF(L37="H",0,18))))</f>
        <v>0</v>
      </c>
      <c r="CG99" s="128" t="s">
        <v>154</v>
      </c>
      <c r="CH99" s="129">
        <f>IF(SUM(CH$91:CH98)=0,CI99,0)</f>
        <v>0</v>
      </c>
      <c r="CI99" s="132">
        <f>IF($H$5&lt;18,0,IF(ISBLANK($M37)=TRUE,18,IF($M37="N",0,IF($M37=" ",0,18))))</f>
        <v>0</v>
      </c>
      <c r="CJ99" s="128" t="s">
        <v>420</v>
      </c>
      <c r="CK99" s="128"/>
      <c r="CL99" s="128"/>
      <c r="CM99" s="128"/>
      <c r="CN99" s="128"/>
      <c r="CO99" s="128"/>
      <c r="CP99" s="128"/>
      <c r="CQ99" s="37"/>
      <c r="CV99" s="1" t="str">
        <f>CONCATENATE(CV91,CW92,CW91,CW93,,CW91,CY91,CW94,CW91,CX91)</f>
        <v>GROUND</v>
      </c>
      <c r="CX99" s="62">
        <f t="shared" si="59"/>
        <v>500.00000999999997</v>
      </c>
      <c r="CY99" s="62"/>
      <c r="CZ99" s="62">
        <v>600</v>
      </c>
      <c r="DA99" s="62" t="str">
        <f t="shared" si="56"/>
        <v>#2/0</v>
      </c>
      <c r="DB99" s="62">
        <f t="shared" si="57"/>
        <v>11</v>
      </c>
      <c r="DC99" s="62"/>
      <c r="DD99" s="62">
        <v>600</v>
      </c>
      <c r="DE99" s="62" t="s">
        <v>87</v>
      </c>
      <c r="DF99" s="62">
        <v>9</v>
      </c>
      <c r="DG99" s="62" t="s">
        <v>97</v>
      </c>
      <c r="DH99" s="62">
        <v>11</v>
      </c>
      <c r="DI99" s="27"/>
      <c r="DJ99" s="27"/>
      <c r="DK99" s="27"/>
      <c r="DL99" s="27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89" t="s">
        <v>204</v>
      </c>
      <c r="EK99" s="90">
        <f>ROUND(EK97/EK98,4)</f>
        <v>0</v>
      </c>
      <c r="EL99" s="90">
        <f>ROUND(EL97/EL98,4)</f>
        <v>0</v>
      </c>
      <c r="EM99" s="90">
        <f>ROUND(EM97/EM98,4)</f>
        <v>0</v>
      </c>
      <c r="EN99" s="90">
        <f>ROUND(EN97/EN98,4)</f>
        <v>0</v>
      </c>
      <c r="EO99" s="149" t="str">
        <f>IF(H8=1," )"," X ")</f>
        <v xml:space="preserve"> )</v>
      </c>
      <c r="EP99" s="149" t="s">
        <v>261</v>
      </c>
      <c r="EQ99" s="149" t="s">
        <v>257</v>
      </c>
      <c r="ER99" s="149" t="s">
        <v>257</v>
      </c>
      <c r="ES99" s="149" t="s">
        <v>261</v>
      </c>
      <c r="ET99" s="22"/>
      <c r="EU99" s="24" t="str">
        <f>CONCATENATE(EU96,EU97)</f>
        <v>0.0 % VD</v>
      </c>
      <c r="EV99" s="24" t="str">
        <f>CONCATENATE(EV96,EV97)</f>
        <v>0.0 % VD</v>
      </c>
      <c r="EW99" s="24" t="str">
        <f>CONCATENATE(EW96,EW97)</f>
        <v>0.0 % VD</v>
      </c>
      <c r="EX99" s="24" t="str">
        <f>CONCATENATE(EX96,EX97)</f>
        <v>0.0 % VD</v>
      </c>
      <c r="FH99" s="353"/>
      <c r="FI99" s="425">
        <f t="shared" si="58"/>
        <v>625.00099999999998</v>
      </c>
      <c r="FJ99" s="425">
        <f t="shared" si="54"/>
        <v>650</v>
      </c>
      <c r="FK99" s="425">
        <v>545</v>
      </c>
      <c r="FL99" s="425" t="s">
        <v>101</v>
      </c>
      <c r="FM99" s="425">
        <v>650</v>
      </c>
      <c r="FN99" s="425">
        <v>735</v>
      </c>
      <c r="FO99" s="425" t="s">
        <v>730</v>
      </c>
      <c r="FP99" s="427"/>
      <c r="FQ99" s="427"/>
      <c r="FW99" s="360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89" t="s">
        <v>204</v>
      </c>
      <c r="GL99" s="90">
        <f>ROUND(GL97/GL98,4)</f>
        <v>0</v>
      </c>
      <c r="GM99" s="90">
        <f>ROUND(GM97/GM98,4)</f>
        <v>0</v>
      </c>
      <c r="GN99" s="86"/>
      <c r="GO99" s="86"/>
      <c r="GP99" s="149" t="str">
        <f>IF(BC8=1," )"," X ")</f>
        <v xml:space="preserve"> X </v>
      </c>
      <c r="GQ99" s="149" t="s">
        <v>261</v>
      </c>
      <c r="GR99" s="149" t="s">
        <v>257</v>
      </c>
      <c r="GS99" s="149" t="s">
        <v>257</v>
      </c>
      <c r="GT99" s="149" t="s">
        <v>261</v>
      </c>
      <c r="GU99" s="22"/>
      <c r="GV99" s="24" t="str">
        <f>CONCATENATE(GV96,GV97)</f>
        <v>0.0 % VD</v>
      </c>
      <c r="GW99" s="24" t="str">
        <f>CONCATENATE(GW96,GW97)</f>
        <v>0.0 % VD</v>
      </c>
      <c r="GX99" s="24" t="str">
        <f>CONCATENATE(GX96,GX97)</f>
        <v>0.0 % VD</v>
      </c>
      <c r="GY99" s="24" t="str">
        <f>CONCATENATE(GY96,GY97)</f>
        <v>0.0 % VD</v>
      </c>
    </row>
    <row r="100" spans="77:207" ht="14.1" hidden="1" customHeight="1">
      <c r="BY100" s="130"/>
      <c r="BZ100" s="136"/>
      <c r="CA100" s="128">
        <f t="shared" si="55"/>
        <v>20</v>
      </c>
      <c r="CB100" s="129">
        <f>IF(SUM(CB$91:CB99)=0,CC100,0)</f>
        <v>0</v>
      </c>
      <c r="CC100" s="129">
        <f>IF(H$5&lt;20,0,IF(K38="G",0,IF(K38="C",0,IF(K38="M",0,IF(K38="K",0,IF(AND(OR($H$11="FULL",$H$11="AUTO"),K38="D"),0,20))))))</f>
        <v>0</v>
      </c>
      <c r="CD100" s="128" t="str">
        <f>IF($H$11="NONE","ENTER CIRCUIT #20 LOAD IDENTIFIER  ( G, C, M, K )","ENTER CIRCUIT #20 LOAD IDENTIFIER  ( G, D, C, M, K )")</f>
        <v>ENTER CIRCUIT #20 LOAD IDENTIFIER  ( G, D, C, M, K )</v>
      </c>
      <c r="CE100" s="129">
        <f>IF(SUM(CE$91:CE99)=0,CF100,0)</f>
        <v>0</v>
      </c>
      <c r="CF100" s="129">
        <f>IF(H$5&lt;20,0,IF(ISBLANK(L38)=TRUE,20,IF(L38=" ",0,IF(L38="H",0,20))))</f>
        <v>0</v>
      </c>
      <c r="CG100" s="128" t="s">
        <v>156</v>
      </c>
      <c r="CH100" s="129">
        <f>IF(SUM(CH$91:CH99)=0,CI100,0)</f>
        <v>0</v>
      </c>
      <c r="CI100" s="132">
        <f>IF($H$5&lt;20,0,IF(ISBLANK($M38)=TRUE,20,IF($M38="N",0,IF($M38=" ",0,20))))</f>
        <v>0</v>
      </c>
      <c r="CJ100" s="128" t="s">
        <v>421</v>
      </c>
      <c r="CK100" s="128"/>
      <c r="CL100" s="128"/>
      <c r="CM100" s="128"/>
      <c r="CN100" s="128"/>
      <c r="CO100" s="128"/>
      <c r="CP100" s="128"/>
      <c r="CQ100" s="37"/>
      <c r="CV100" s="1" t="str">
        <f>CONCATENATE(CV91,CW92,CW91,CW93,,CW91,CZ91,CW94,CW91,CX91,CY91,CW95,DB91)</f>
        <v>OVERGROUNDWIRE</v>
      </c>
      <c r="CX100" s="62">
        <f t="shared" si="59"/>
        <v>600.00000999999997</v>
      </c>
      <c r="CY100" s="62"/>
      <c r="CZ100" s="62">
        <v>800</v>
      </c>
      <c r="DA100" s="62" t="str">
        <f t="shared" si="56"/>
        <v>#3/0</v>
      </c>
      <c r="DB100" s="62">
        <f t="shared" si="57"/>
        <v>12</v>
      </c>
      <c r="DC100" s="62"/>
      <c r="DD100" s="62">
        <v>800</v>
      </c>
      <c r="DE100" s="62" t="s">
        <v>93</v>
      </c>
      <c r="DF100" s="62">
        <v>10</v>
      </c>
      <c r="DG100" s="62" t="s">
        <v>101</v>
      </c>
      <c r="DH100" s="62">
        <v>12</v>
      </c>
      <c r="DI100" s="27"/>
      <c r="DJ100" s="27"/>
      <c r="DK100" s="27"/>
      <c r="DL100" s="27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O100" s="149">
        <v>0.86599999999999999</v>
      </c>
      <c r="EP100" s="149" t="s">
        <v>135</v>
      </c>
      <c r="EQ100" s="281">
        <v>0.86599999999999999</v>
      </c>
      <c r="ER100" s="281">
        <v>0.86599999999999999</v>
      </c>
      <c r="ES100" s="149" t="s">
        <v>135</v>
      </c>
      <c r="FH100" s="355"/>
      <c r="FI100" s="426">
        <f t="shared" si="58"/>
        <v>650.00099999999998</v>
      </c>
      <c r="FJ100" s="426">
        <f t="shared" si="54"/>
        <v>665</v>
      </c>
      <c r="FK100" s="426">
        <v>560</v>
      </c>
      <c r="FL100" s="426" t="s">
        <v>101</v>
      </c>
      <c r="FM100" s="426">
        <v>665</v>
      </c>
      <c r="FN100" s="426">
        <v>750</v>
      </c>
      <c r="FO100" s="426" t="s">
        <v>731</v>
      </c>
      <c r="FP100" s="427"/>
      <c r="FQ100" s="427"/>
      <c r="FW100" s="360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N100" s="86"/>
      <c r="GO100" s="86"/>
      <c r="GP100" s="149">
        <v>0.86599999999999999</v>
      </c>
      <c r="GQ100" s="149" t="s">
        <v>135</v>
      </c>
      <c r="GR100" s="281">
        <v>0.86599999999999999</v>
      </c>
      <c r="GS100" s="281">
        <v>0.86599999999999999</v>
      </c>
      <c r="GT100" s="149" t="s">
        <v>135</v>
      </c>
    </row>
    <row r="101" spans="77:207" ht="14.1" hidden="1" customHeight="1">
      <c r="BY101" s="130"/>
      <c r="BZ101" s="136"/>
      <c r="CA101" s="128">
        <f t="shared" si="55"/>
        <v>22</v>
      </c>
      <c r="CB101" s="129">
        <f>IF(SUM(CB$91:CB100)=0,CC101,0)</f>
        <v>0</v>
      </c>
      <c r="CC101" s="129">
        <f>IF(H$5&lt;22,0,IF(K39="G",0,IF(K39="C",0,IF(K39="M",0,IF(K39="K",0,IF(AND(OR($H$11="FULL",$H$11="AUTO"),OR($H$8=1,$H$8="3Y"),K39="D"),0,22))))))</f>
        <v>0</v>
      </c>
      <c r="CD101" s="128" t="str">
        <f>IF($H$11="NONE","ENTER CIRCUIT #22 LOAD IDENTIFIER  ( G, C, M, K )",IF($H$8="3D","ENTER CIRCUIT #22 LOAD IDENTIFIER  ( G, C, M, K )","ENTER CIRCUIT #22 LOAD IDENTIFIER  ( G, D, C, M, K )"))</f>
        <v>ENTER CIRCUIT #22 LOAD IDENTIFIER  ( G, D, C, M, K )</v>
      </c>
      <c r="CE101" s="129">
        <f>IF(SUM(CE$91:CE100)=0,CF101,0)</f>
        <v>0</v>
      </c>
      <c r="CF101" s="129">
        <f>IF(H$5&lt;22,0,IF(ISBLANK(L39)=TRUE,22,IF(L39=" ",0,IF(L39="H",0,22))))</f>
        <v>0</v>
      </c>
      <c r="CG101" s="128" t="s">
        <v>159</v>
      </c>
      <c r="CH101" s="129">
        <f>IF(SUM(CH$91:CH100)=0,CI101,0)</f>
        <v>0</v>
      </c>
      <c r="CI101" s="132">
        <f>IF($H$5&lt;22,0,IF(ISBLANK($M39)=TRUE,22,IF($M39=" ",0,IF(AND($H$8&lt;&gt;"3D",$M39="N"),0,22))))</f>
        <v>0</v>
      </c>
      <c r="CJ101" s="128" t="str">
        <f>IF($H$8&lt;&gt;"3D","ENTER CIRCUIT #22 NEUTRAL IDENTIFIER  ( N or SPACE )","ENTER CIRCUIT #22 NEUTRAL IDENTIFIER  ( SPACE )")</f>
        <v>ENTER CIRCUIT #22 NEUTRAL IDENTIFIER  ( N or SPACE )</v>
      </c>
      <c r="CK101" s="128"/>
      <c r="CL101" s="128"/>
      <c r="CM101" s="128"/>
      <c r="CN101" s="128"/>
      <c r="CO101" s="128"/>
      <c r="CP101" s="128"/>
      <c r="CQ101" s="37"/>
      <c r="CX101" s="62">
        <f t="shared" si="59"/>
        <v>800.00000999999997</v>
      </c>
      <c r="CY101" s="62"/>
      <c r="CZ101" s="62">
        <v>1000</v>
      </c>
      <c r="DA101" s="62" t="str">
        <f t="shared" si="56"/>
        <v>#4/0</v>
      </c>
      <c r="DB101" s="62">
        <f t="shared" si="57"/>
        <v>13</v>
      </c>
      <c r="DC101" s="62"/>
      <c r="DD101" s="62">
        <v>1000</v>
      </c>
      <c r="DE101" s="62" t="s">
        <v>97</v>
      </c>
      <c r="DF101" s="62">
        <v>11</v>
      </c>
      <c r="DG101" s="62" t="s">
        <v>103</v>
      </c>
      <c r="DH101" s="62">
        <v>13</v>
      </c>
      <c r="DI101" s="27"/>
      <c r="DJ101" s="27"/>
      <c r="DK101" s="27"/>
      <c r="DL101" s="27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O101" s="149" t="s">
        <v>261</v>
      </c>
      <c r="EP101" s="154" t="str">
        <f>TEXT(EK97, "#,##0.0")</f>
        <v>0.0</v>
      </c>
      <c r="EQ101" s="149" t="s">
        <v>261</v>
      </c>
      <c r="ER101" s="149" t="s">
        <v>261</v>
      </c>
      <c r="ES101" s="300" t="str">
        <f>TEXT(EN97, "#,##0.0")</f>
        <v>0.0</v>
      </c>
      <c r="EU101" s="568" t="str">
        <f>CONCATENATE(EU96,EU97)</f>
        <v>0.0 % VD</v>
      </c>
      <c r="EV101" s="568" t="str">
        <f>CONCATENATE(EV96,EV97)</f>
        <v>0.0 % VD</v>
      </c>
      <c r="EW101" s="568" t="str">
        <f>CONCATENATE(EW96,EW97)</f>
        <v>0.0 % VD</v>
      </c>
      <c r="EX101" s="568" t="str">
        <f>CONCATENATE(EX96,EX97)</f>
        <v>0.0 % VD</v>
      </c>
      <c r="FW101" s="360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P101" s="149" t="s">
        <v>261</v>
      </c>
      <c r="GQ101" s="154" t="str">
        <f>TEXT(GL97, "#,##0.0")</f>
        <v>0.0</v>
      </c>
      <c r="GR101" s="149" t="s">
        <v>261</v>
      </c>
      <c r="GS101" s="149" t="s">
        <v>261</v>
      </c>
      <c r="GT101" s="300" t="str">
        <f>TEXT(GO97, "#,##0.0")</f>
        <v>0.0</v>
      </c>
    </row>
    <row r="102" spans="77:207" ht="14.1" hidden="1" customHeight="1">
      <c r="BY102" s="130"/>
      <c r="BZ102" s="136"/>
      <c r="CA102" s="128">
        <f t="shared" si="55"/>
        <v>24</v>
      </c>
      <c r="CB102" s="129">
        <f>IF(SUM(CB$91:CB101)=0,CC102,0)</f>
        <v>0</v>
      </c>
      <c r="CC102" s="129">
        <f>IF(H$5&lt;24,0,IF(K40="G",0,IF(K40="C",0,IF(K40="M",0,IF(K40="K",0,IF(AND(OR($H$11="FULL",$H$11="AUTO"),K40="D"),0,24))))))</f>
        <v>0</v>
      </c>
      <c r="CD102" s="128" t="str">
        <f>IF($H$11="NONE","ENTER CIRCUIT #24 LOAD IDENTIFIER  ( G, C, M, K )","ENTER CIRCUIT #24 LOAD IDENTIFIER  ( G, D, C, M, K )")</f>
        <v>ENTER CIRCUIT #24 LOAD IDENTIFIER  ( G, D, C, M, K )</v>
      </c>
      <c r="CE102" s="129">
        <f>IF(SUM(CE$91:CE101)=0,CF102,0)</f>
        <v>0</v>
      </c>
      <c r="CF102" s="129">
        <f>IF(H$5&lt;24,0,IF(ISBLANK(L40)=TRUE,24,IF(L40=" ",0,IF(L40="H",0,24))))</f>
        <v>0</v>
      </c>
      <c r="CG102" s="128" t="s">
        <v>166</v>
      </c>
      <c r="CH102" s="129">
        <f>IF(SUM(CH$91:CH101)=0,CI102,0)</f>
        <v>0</v>
      </c>
      <c r="CI102" s="132">
        <f>IF($H$5&lt;24,0,IF(ISBLANK($M40)=TRUE,24,IF($M40="N",0,IF($M40=" ",0,24))))</f>
        <v>0</v>
      </c>
      <c r="CJ102" s="128" t="s">
        <v>422</v>
      </c>
      <c r="CK102" s="128"/>
      <c r="CL102" s="128"/>
      <c r="CM102" s="128"/>
      <c r="CN102" s="128"/>
      <c r="CO102" s="128"/>
      <c r="CP102" s="128"/>
      <c r="CQ102" s="37"/>
      <c r="CU102" s="24" t="s">
        <v>500</v>
      </c>
      <c r="CV102" s="1" t="str">
        <f>CONCATENATE(CW92,CW91,)</f>
        <v/>
      </c>
      <c r="CX102" s="57">
        <f t="shared" si="59"/>
        <v>1000.00001</v>
      </c>
      <c r="CY102" s="57"/>
      <c r="CZ102" s="57">
        <v>1200</v>
      </c>
      <c r="DA102" s="57" t="str">
        <f t="shared" si="56"/>
        <v>#250</v>
      </c>
      <c r="DB102" s="57">
        <f t="shared" si="57"/>
        <v>14</v>
      </c>
      <c r="DC102" s="57"/>
      <c r="DD102" s="57">
        <v>1200</v>
      </c>
      <c r="DE102" s="57" t="s">
        <v>101</v>
      </c>
      <c r="DF102" s="57">
        <v>12</v>
      </c>
      <c r="DG102" s="57" t="s">
        <v>106</v>
      </c>
      <c r="DH102" s="57">
        <v>14</v>
      </c>
      <c r="DI102" s="27"/>
      <c r="DJ102" s="27"/>
      <c r="DK102" s="27"/>
      <c r="DL102" s="27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K102" s="295"/>
      <c r="EL102" s="295"/>
      <c r="EM102" s="295"/>
      <c r="EN102" s="295"/>
      <c r="EO102" s="149" t="s">
        <v>135</v>
      </c>
      <c r="EP102" s="154" t="s">
        <v>262</v>
      </c>
      <c r="EQ102" s="149" t="s">
        <v>135</v>
      </c>
      <c r="ER102" s="149" t="s">
        <v>135</v>
      </c>
      <c r="ES102" s="149" t="s">
        <v>262</v>
      </c>
      <c r="FI102" s="334" t="str">
        <f>VLOOKUP(FI87,FI91:FL100,4)</f>
        <v>#1/0</v>
      </c>
      <c r="FW102" s="360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L102" s="295"/>
      <c r="GM102" s="295"/>
      <c r="GN102" s="295"/>
      <c r="GO102" s="295"/>
      <c r="GP102" s="149" t="s">
        <v>135</v>
      </c>
      <c r="GQ102" s="154" t="s">
        <v>262</v>
      </c>
      <c r="GR102" s="149" t="s">
        <v>135</v>
      </c>
      <c r="GS102" s="149" t="s">
        <v>135</v>
      </c>
      <c r="GT102" s="149" t="s">
        <v>262</v>
      </c>
    </row>
    <row r="103" spans="77:207" ht="14.1" hidden="1" customHeight="1">
      <c r="BY103" s="130"/>
      <c r="BZ103" s="136"/>
      <c r="CA103" s="128">
        <f t="shared" si="55"/>
        <v>26</v>
      </c>
      <c r="CB103" s="129">
        <f>IF(SUM(CB$91:CB102)=0,CC103,0)</f>
        <v>0</v>
      </c>
      <c r="CC103" s="129">
        <f>IF(H$5&lt;26,0,IF(K41="G",0,IF(K41="C",0,IF(K41="M",0,IF(K41="K",0,IF(AND(OR($H$11="FULL",$H$11="AUTO"),K41="D"),0,26))))))</f>
        <v>0</v>
      </c>
      <c r="CD103" s="128" t="str">
        <f>IF($H$11="NONE","ENTER CIRCUIT #26 LOAD IDENTIFIER  ( G, C, M, K )","ENTER CIRCUIT #26 LOAD IDENTIFIER  ( G, D, C, M, K )")</f>
        <v>ENTER CIRCUIT #26 LOAD IDENTIFIER  ( G, D, C, M, K )</v>
      </c>
      <c r="CE103" s="129">
        <f>IF(SUM(CE$91:CE102)=0,CF103,0)</f>
        <v>0</v>
      </c>
      <c r="CF103" s="129">
        <f>IF(H$5&lt;26,0,IF(ISBLANK(L41)=TRUE,26,IF(L41=" ",0,IF(L41="H",0,26))))</f>
        <v>0</v>
      </c>
      <c r="CG103" s="128" t="s">
        <v>167</v>
      </c>
      <c r="CH103" s="129">
        <f>IF(SUM(CH$91:CH102)=0,CI103,0)</f>
        <v>0</v>
      </c>
      <c r="CI103" s="132">
        <f>IF($H$5&lt;26,0,IF(ISBLANK($M41)=TRUE,26,IF($M41="N",0,IF($M41=" ",0,26))))</f>
        <v>0</v>
      </c>
      <c r="CJ103" s="128" t="s">
        <v>423</v>
      </c>
      <c r="CK103" s="128"/>
      <c r="CL103" s="128"/>
      <c r="CM103" s="128"/>
      <c r="CN103" s="128"/>
      <c r="CO103" s="128"/>
      <c r="CP103" s="128"/>
      <c r="CQ103" s="37"/>
      <c r="CU103" s="24" t="str">
        <f>IF(AND(CV83=1,CX84=2),"WIRE SIZE L1 &amp; L2",IF(AND(CV83="3D",CX84=2),"WIRE SIZE L1 &amp; L3",IF(CX84&gt;2,"WIRE SIZE L1-L3"," ")))</f>
        <v xml:space="preserve"> </v>
      </c>
      <c r="CV103" s="1" t="str">
        <f>CONCATENATE(CW93,,CW91)</f>
        <v/>
      </c>
      <c r="CW103" s="24"/>
      <c r="CX103" s="73" t="s">
        <v>149</v>
      </c>
      <c r="CY103" s="79" t="s">
        <v>149</v>
      </c>
      <c r="CZ103" s="79" t="s">
        <v>149</v>
      </c>
      <c r="DA103" s="70" t="s">
        <v>149</v>
      </c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96"/>
      <c r="EK103" s="295"/>
      <c r="EL103" s="16"/>
      <c r="EO103" s="154" t="s">
        <v>262</v>
      </c>
      <c r="EP103" s="154"/>
      <c r="EQ103" s="154" t="str">
        <f>TEXT(EL97, "#,##0.0")</f>
        <v>0.0</v>
      </c>
      <c r="ER103" s="154" t="str">
        <f>TEXT(EM97, "#,##0.0")</f>
        <v>0.0</v>
      </c>
      <c r="ES103" s="154"/>
      <c r="EV103" s="359" t="str">
        <f>IF(H8=1,EU101,EV101)</f>
        <v>0.0 % VD</v>
      </c>
      <c r="FW103" s="360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96"/>
      <c r="GL103" s="295"/>
      <c r="GP103" s="154" t="s">
        <v>262</v>
      </c>
      <c r="GQ103" s="154"/>
      <c r="GR103" s="154" t="str">
        <f>TEXT(GM97, "#,##0.0")</f>
        <v>0.0</v>
      </c>
      <c r="GS103" s="154" t="str">
        <f>TEXT(GN97, "#,##0.0")</f>
        <v>0.0</v>
      </c>
      <c r="GT103" s="154"/>
    </row>
    <row r="104" spans="77:207" ht="14.1" hidden="1" customHeight="1">
      <c r="BY104" s="130"/>
      <c r="BZ104" s="136"/>
      <c r="CA104" s="128">
        <f t="shared" si="55"/>
        <v>28</v>
      </c>
      <c r="CB104" s="129">
        <f>IF(SUM(CB$91:CB103)=0,CC104,0)</f>
        <v>0</v>
      </c>
      <c r="CC104" s="129">
        <f>IF(H$5&lt;28,0,IF(K42="G",0,IF(K42="C",0,IF(K42="M",0,IF(K42="K",0,IF(AND(OR($H$11="FULL",$H$11="AUTO"),OR($H$8=1,$H$8="3Y"),K42="D"),0,28))))))</f>
        <v>0</v>
      </c>
      <c r="CD104" s="128" t="str">
        <f>IF($H$11="NONE","ENTER CIRCUIT #28 LOAD IDENTIFIER  ( G, C, M, K )",IF($H$8="3D","ENTER CIRCUIT #28 LOAD IDENTIFIER  ( G, C, M, K )","ENTER CIRCUIT #28 LOAD IDENTIFIER  ( G, D, C, M, K )"))</f>
        <v>ENTER CIRCUIT #28 LOAD IDENTIFIER  ( G, D, C, M, K )</v>
      </c>
      <c r="CE104" s="129">
        <f>IF(SUM(CE$91:CE103)=0,CF104,0)</f>
        <v>0</v>
      </c>
      <c r="CF104" s="129">
        <f>IF(H$5&lt;28,0,IF(ISBLANK(L42)=TRUE,28,IF(L42=" ",0,IF(L42="H",0,28))))</f>
        <v>0</v>
      </c>
      <c r="CG104" s="128" t="s">
        <v>168</v>
      </c>
      <c r="CH104" s="129">
        <f>IF(SUM(CH$91:CH103)=0,CI104,0)</f>
        <v>0</v>
      </c>
      <c r="CI104" s="132">
        <f>IF($H$5&lt;28,0,IF(ISBLANK($M42)=TRUE,28,IF($M42=" ",0,IF(AND($H$8&lt;&gt;"3D",$M42="N"),0,28))))</f>
        <v>0</v>
      </c>
      <c r="CJ104" s="128" t="str">
        <f>IF($H$8&lt;&gt;"3D","ENTER CIRCUIT #28 NEUTRAL IDENTIFIER  ( N or SPACE )","ENTER CIRCUIT #28 NEUTRAL IDENTIFIER  ( SPACE )")</f>
        <v>ENTER CIRCUIT #28 NEUTRAL IDENTIFIER  ( N or SPACE )</v>
      </c>
      <c r="CK104" s="128"/>
      <c r="CL104" s="128"/>
      <c r="CM104" s="128"/>
      <c r="CN104" s="128"/>
      <c r="CO104" s="128"/>
      <c r="CP104" s="128"/>
      <c r="CQ104" s="37"/>
      <c r="CU104" s="24">
        <f>IF(AND(CV83="3D",CX84=2),"WIRE SIZE L2",IF(CZ84=1,"NEUTRAL SIZE",IF(DA84=1,"GROUND SIZE",0)))</f>
        <v>0</v>
      </c>
      <c r="CW104" s="24"/>
      <c r="CX104" s="74" t="s">
        <v>34</v>
      </c>
      <c r="CY104" s="27" t="s">
        <v>68</v>
      </c>
      <c r="CZ104" s="27" t="s">
        <v>68</v>
      </c>
      <c r="DA104" s="75" t="s">
        <v>68</v>
      </c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O104" s="149"/>
      <c r="EP104" s="154"/>
      <c r="EQ104" s="154" t="s">
        <v>262</v>
      </c>
      <c r="ER104" s="154" t="s">
        <v>262</v>
      </c>
      <c r="EV104" s="1" t="s">
        <v>12</v>
      </c>
      <c r="FW104" s="360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P104" s="149"/>
      <c r="GQ104" s="154"/>
      <c r="GR104" s="154" t="s">
        <v>262</v>
      </c>
      <c r="GS104" s="154" t="s">
        <v>262</v>
      </c>
    </row>
    <row r="105" spans="77:207" ht="14.1" hidden="1" customHeight="1">
      <c r="BY105" s="141"/>
      <c r="BZ105" s="136"/>
      <c r="CA105" s="128">
        <f t="shared" si="55"/>
        <v>30</v>
      </c>
      <c r="CB105" s="129">
        <f>IF(SUM(CB$91:CB104)=0,CC105,0)</f>
        <v>0</v>
      </c>
      <c r="CC105" s="129">
        <f>IF(H$5&lt;30,0,IF(K43="G",0,IF(K43="C",0,IF(K43="M",0,IF(K43="K",0,IF(AND(OR($H$11="FULL",$H$11="AUTO"),K43="D"),0,30))))))</f>
        <v>0</v>
      </c>
      <c r="CD105" s="128" t="str">
        <f>IF($H$11="NONE","ENTER CIRCUIT #30 LOAD IDENTIFIER  ( G, C, M, K )","ENTER CIRCUIT #30 LOAD IDENTIFIER  ( G, D, C, M, K )")</f>
        <v>ENTER CIRCUIT #30 LOAD IDENTIFIER  ( G, D, C, M, K )</v>
      </c>
      <c r="CE105" s="129">
        <f>IF(SUM(CE$91:CE104)=0,CF105,0)</f>
        <v>0</v>
      </c>
      <c r="CF105" s="129">
        <f>IF(H$5&lt;30,0,IF(ISBLANK(L43)=TRUE,30,IF(L43=" ",0,IF(L43="H",0,30))))</f>
        <v>0</v>
      </c>
      <c r="CG105" s="128" t="s">
        <v>171</v>
      </c>
      <c r="CH105" s="129">
        <f>IF(SUM(CH$91:CH104)=0,CI105,0)</f>
        <v>0</v>
      </c>
      <c r="CI105" s="132">
        <f>IF($H$5&lt;30,0,IF(ISBLANK($M43)=TRUE,30,IF($M43="N",0,IF($M43=" ",0,30))))</f>
        <v>0</v>
      </c>
      <c r="CJ105" s="128" t="s">
        <v>424</v>
      </c>
      <c r="CK105" s="128"/>
      <c r="CL105" s="128"/>
      <c r="CM105" s="128"/>
      <c r="CN105" s="128"/>
      <c r="CO105" s="128"/>
      <c r="CP105" s="128"/>
      <c r="CQ105" s="37"/>
      <c r="CU105" s="24"/>
      <c r="CW105" s="24"/>
      <c r="CX105" s="74" t="s">
        <v>193</v>
      </c>
      <c r="CY105" s="27" t="s">
        <v>38</v>
      </c>
      <c r="CZ105" s="27" t="s">
        <v>38</v>
      </c>
      <c r="DA105" s="75" t="s">
        <v>73</v>
      </c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95"/>
      <c r="EK105" s="296"/>
      <c r="EO105" s="149"/>
      <c r="EP105" s="154"/>
      <c r="EQ105" s="154"/>
      <c r="ER105" s="154"/>
      <c r="EV105" s="516" t="str">
        <f>CONCATENATE(EV104,EV103)</f>
        <v xml:space="preserve"> 0.0 % VD</v>
      </c>
      <c r="FW105" s="360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95"/>
      <c r="GL105" s="296"/>
      <c r="GP105" s="149"/>
      <c r="GQ105" s="154"/>
      <c r="GR105" s="154"/>
      <c r="GS105" s="154"/>
    </row>
    <row r="106" spans="77:207" ht="14.1" hidden="1" customHeight="1">
      <c r="BY106" s="136"/>
      <c r="BZ106" s="136"/>
      <c r="CA106" s="128">
        <f t="shared" si="55"/>
        <v>32</v>
      </c>
      <c r="CB106" s="129">
        <f>IF(SUM(CB$91:CB105)=0,CC106,0)</f>
        <v>0</v>
      </c>
      <c r="CC106" s="129">
        <f>IF(H$5&lt;32,0,IF(K44="G",0,IF(K44="C",0,IF(K44="M",0,IF(K44="K",0,IF(AND(OR($H$11="FULL",$H$11="AUTO"),K44="D"),0,32))))))</f>
        <v>0</v>
      </c>
      <c r="CD106" s="128" t="str">
        <f>IF($H$11="NONE","ENTER CIRCUIT #32 LOAD IDENTIFIER  ( G, C, M, K )","ENTER CIRCUIT #32 LOAD IDENTIFIER  ( G, D, C, M, K )")</f>
        <v>ENTER CIRCUIT #32 LOAD IDENTIFIER  ( G, D, C, M, K )</v>
      </c>
      <c r="CE106" s="129">
        <f>IF(SUM(CE$91:CE105)=0,CF106,0)</f>
        <v>0</v>
      </c>
      <c r="CF106" s="129">
        <f>IF(H$5&lt;32,0,IF(ISBLANK(L44)=TRUE,32,IF(L44=" ",0,IF(L44="H",0,32))))</f>
        <v>0</v>
      </c>
      <c r="CG106" s="128" t="s">
        <v>174</v>
      </c>
      <c r="CH106" s="129">
        <f>IF(SUM(CH$91:CH105)=0,CI106,0)</f>
        <v>0</v>
      </c>
      <c r="CI106" s="132">
        <f>IF($H$5&lt;32,0,IF(ISBLANK($M44)=TRUE,32,IF($M44="N",0,IF($M44=" ",0,32))))</f>
        <v>0</v>
      </c>
      <c r="CJ106" s="128" t="s">
        <v>425</v>
      </c>
      <c r="CK106" s="128"/>
      <c r="CL106" s="128"/>
      <c r="CM106" s="128"/>
      <c r="CN106" s="128"/>
      <c r="CO106" s="128"/>
      <c r="CP106" s="128"/>
      <c r="CQ106" s="37"/>
      <c r="CU106" s="24"/>
      <c r="CW106" s="24"/>
      <c r="CX106" s="74" t="s">
        <v>194</v>
      </c>
      <c r="CY106" s="27" t="s">
        <v>74</v>
      </c>
      <c r="CZ106" s="27" t="s">
        <v>7</v>
      </c>
      <c r="DA106" s="75" t="s">
        <v>21</v>
      </c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96"/>
      <c r="EO106" s="149"/>
      <c r="EP106" s="154" t="str">
        <f>CONCATENATE(EP101,EP102)</f>
        <v>0.0 VD</v>
      </c>
      <c r="EQ106" s="154" t="str">
        <f>CONCATENATE(EQ103,EQ104)</f>
        <v>0.0 VD</v>
      </c>
      <c r="ER106" s="154" t="str">
        <f>CONCATENATE(ER103,ER104)</f>
        <v>0.0 VD</v>
      </c>
      <c r="ES106" s="1" t="str">
        <f>CONCATENATE(ES101,ES102)</f>
        <v>0.0 VD</v>
      </c>
      <c r="FW106" s="360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96"/>
      <c r="GP106" s="149"/>
      <c r="GQ106" s="154" t="str">
        <f>CONCATENATE(GQ101,GQ102)</f>
        <v>0.0 VD</v>
      </c>
      <c r="GR106" s="154" t="str">
        <f>CONCATENATE(GR103,GR104)</f>
        <v>0.0 VD</v>
      </c>
      <c r="GS106" s="154" t="str">
        <f>CONCATENATE(GS103,GS104)</f>
        <v>0.0 VD</v>
      </c>
      <c r="GT106" s="1" t="str">
        <f>CONCATENATE(GT101,GT102)</f>
        <v>0.0 VD</v>
      </c>
    </row>
    <row r="107" spans="77:207" ht="14.1" hidden="1" customHeight="1">
      <c r="BY107" s="136"/>
      <c r="BZ107" s="136"/>
      <c r="CA107" s="128">
        <f t="shared" si="55"/>
        <v>34</v>
      </c>
      <c r="CB107" s="129">
        <f>IF(SUM(CB$91:CB106)=0,CC107,0)</f>
        <v>0</v>
      </c>
      <c r="CC107" s="129">
        <f>IF(H$5&lt;34,0,IF(K45="G",0,IF(K45="C",0,IF(K45="M",0,IF(K45="K",0,IF(AND(OR($H$11="FULL",$H$11="AUTO"),OR($H$8=1,$H$8="3Y"),K45="D"),0,34))))))</f>
        <v>0</v>
      </c>
      <c r="CD107" s="128" t="str">
        <f>IF($H$11="NONE","ENTER CIRCUIT #34 LOAD IDENTIFIER  ( G, C, M, K )",IF($H$8="3D","ENTER CIRCUIT #34 LOAD IDENTIFIER  ( G, C, M, K )","ENTER CIRCUIT #34 LOAD IDENTIFIER  ( G, D, C, M, K )"))</f>
        <v>ENTER CIRCUIT #34 LOAD IDENTIFIER  ( G, D, C, M, K )</v>
      </c>
      <c r="CE107" s="129">
        <f>IF(SUM(CE$91:CE106)=0,CF107,0)</f>
        <v>0</v>
      </c>
      <c r="CF107" s="129">
        <f>IF(H$5&lt;34,0,IF(ISBLANK(L45)=TRUE,34,IF(L45=" ",0,IF(L45="H",0,34))))</f>
        <v>0</v>
      </c>
      <c r="CG107" s="128" t="s">
        <v>177</v>
      </c>
      <c r="CH107" s="129">
        <f>IF(SUM(CH$91:CH106)=0,CI107,0)</f>
        <v>0</v>
      </c>
      <c r="CI107" s="132">
        <f>IF($H$5&lt;34,0,IF(ISBLANK($M45)=TRUE,34,IF($M45=" ",0,IF(AND($H$8&lt;&gt;"3D",$M45="N"),0,34))))</f>
        <v>0</v>
      </c>
      <c r="CJ107" s="128" t="str">
        <f>IF($H$8&lt;&gt;"3D","ENTER CIRCUIT #34 NEUTRAL IDENTIFIER  ( N or SPACE )","ENTER CIRCUIT #34 NEUTRAL IDENTIFIER  ( SPACE )")</f>
        <v>ENTER CIRCUIT #34 NEUTRAL IDENTIFIER  ( N or SPACE )</v>
      </c>
      <c r="CK107" s="128"/>
      <c r="CL107" s="128"/>
      <c r="CM107" s="128"/>
      <c r="CN107" s="128"/>
      <c r="CO107" s="128"/>
      <c r="CP107" s="128"/>
      <c r="CQ107" s="37"/>
      <c r="CU107" s="24"/>
      <c r="CW107" s="24"/>
      <c r="CX107" s="76">
        <f>IF(CY86="N",0,VLOOKUP(CY87,CX93:DH102,3))</f>
        <v>60</v>
      </c>
      <c r="CY107" s="81" t="str">
        <f>IF(CY86="N","NONE",VLOOKUP(CY87,CX93:DH102,4))</f>
        <v>#8</v>
      </c>
      <c r="CZ107" s="81">
        <f>IF(CY86="N",0,VLOOKUP(CY87,CX93:DH102,5))</f>
        <v>4</v>
      </c>
      <c r="DA107" s="72">
        <f>IF(CY86="N",0,DA57)</f>
        <v>1</v>
      </c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O107" s="149"/>
      <c r="EP107" s="154" t="str">
        <f>CONCATENATE(EP89,EP90,EP91,EP92,EP93,EP94,EP95,EP96,EP97,EP98,EP99,EP100,EP101,EP102)</f>
        <v>( 2 X 50' L X 0.8080 R X 0.0 A ÷ 1,000 )  = 0.0 VD</v>
      </c>
      <c r="EQ107" s="154" t="str">
        <f>CONCATENATE(EQ89,EQ90,EQ91,EQ92,EQ93,EQ94,EQ95,EQ96,EQ97,EQ98,EQ99,EQ100,EQ101,EQ102,EQ103,EQ104)</f>
        <v>( 2 X 50' L X 0.8080 R X 0.0 A ÷ 1,000 X 0.866 )  = 0.0 VD</v>
      </c>
      <c r="ER107" s="154" t="str">
        <f>CONCATENATE(ER89,ER90,ER91,ER92,ER93,ER94,ER95,ER96,ER97,ER98,ER99,ER100,ER101,ER102,ER103,ER104)</f>
        <v>( 2 X 50' L X 0.8080 R X 0.0 A ÷ 1,000 X 0.866 )  = 0.0 VD</v>
      </c>
      <c r="ES107" s="1" t="str">
        <f>CONCATENATE(ES89,ES90,ES91,ES92,ES93,ES94,ES95,ES96,ES97,ES98,ES99,ES100,ES101,ES102)</f>
        <v>( 2 X 50' L X 0.8080 R X 0.0 A ÷ 1,000 )  = 0.0 VD</v>
      </c>
      <c r="FW107" s="360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P107" s="149"/>
      <c r="GQ107" s="154" t="str">
        <f>CONCATENATE(GQ89,GQ90,GQ91,GQ92,GQ93,GQ94,GQ95,GQ96,GQ97,GQ98,GQ99,GQ100,GQ101,GQ102)</f>
        <v>( 2 X 0' L X 0.8080 R X 0.0 A ÷ 1,000 )  = 0.0 VD</v>
      </c>
      <c r="GR107" s="154" t="str">
        <f>CONCATENATE(GR89,GR90,GR91,GR92,GR93,GR94,GR95,GR96,GR97,GR98,GR99,GR100,GR101,GR102,GR103,GR104)</f>
        <v>( 2 X 0' L X 0.8080 R X 0.0 A ÷ 1,000 X 0.866 )  = 0.0 VD</v>
      </c>
      <c r="GS107" s="154" t="str">
        <f>CONCATENATE(GS89,GS90,GS91,GS92,GS93,GS94,GS95,GS96,GS97,GS98,GS99,GS100,GS101,GS102,GS103,GS104)</f>
        <v>( 2 X 0' L X 0.0000 R X 0.0 A ÷ 1,000 X 0.866 )  = 0.0 VD</v>
      </c>
      <c r="GT107" s="1" t="str">
        <f>CONCATENATE(GT89,GT90,GT91,GT92,GT93,GT94,GT95,GT96,GT97,GT98,GT99,GT100,GT101,GT102)</f>
        <v>( 2 X 0' L X 0.0000 R X 0.0 A ÷ 1,000 )  = 0.0 VD</v>
      </c>
    </row>
    <row r="108" spans="77:207" ht="14.1" hidden="1" customHeight="1">
      <c r="BY108" s="136"/>
      <c r="BZ108" s="129"/>
      <c r="CA108" s="128">
        <f t="shared" si="55"/>
        <v>36</v>
      </c>
      <c r="CB108" s="129">
        <f>IF(SUM(CB$91:CB107)=0,CC108,0)</f>
        <v>0</v>
      </c>
      <c r="CC108" s="129">
        <f>IF(H$5&lt;36,0,IF(K46="G",0,IF(K46="C",0,IF(K46="M",0,IF(K46="K",0,IF(AND(OR($H$11="FULL",$H$11="AUTO"),K46="D"),0,36))))))</f>
        <v>0</v>
      </c>
      <c r="CD108" s="128" t="str">
        <f>IF($H$11="NONE","ENTER CIRCUIT #36 LOAD IDENTIFIER  ( G, C, M, K )","ENTER CIRCUIT #36 LOAD IDENTIFIER  ( G, D, C, M, K )")</f>
        <v>ENTER CIRCUIT #36 LOAD IDENTIFIER  ( G, D, C, M, K )</v>
      </c>
      <c r="CE108" s="129">
        <f>IF(SUM(CE$91:CE107)=0,CF108,0)</f>
        <v>0</v>
      </c>
      <c r="CF108" s="129">
        <f>IF(H$5&lt;36,0,IF(ISBLANK(L46)=TRUE,36,IF(L46=" ",0,IF(L46="H",0,36))))</f>
        <v>0</v>
      </c>
      <c r="CG108" s="128" t="s">
        <v>180</v>
      </c>
      <c r="CH108" s="129">
        <f>IF(SUM(CH$91:CH107)=0,CI108,0)</f>
        <v>0</v>
      </c>
      <c r="CI108" s="132">
        <f>IF($H$5&lt;36,0,IF(ISBLANK($M46)=TRUE,36,IF($M46="N",0,IF($M46=" ",0,36))))</f>
        <v>0</v>
      </c>
      <c r="CJ108" s="128" t="s">
        <v>426</v>
      </c>
      <c r="CK108" s="128"/>
      <c r="CL108" s="128"/>
      <c r="CM108" s="128"/>
      <c r="CN108" s="128"/>
      <c r="CO108" s="128"/>
      <c r="CP108" s="128"/>
      <c r="CQ108" s="37"/>
      <c r="CU108" s="24"/>
      <c r="CW108" s="24"/>
      <c r="CX108" s="24"/>
      <c r="CY108" s="24"/>
      <c r="CZ108" s="24"/>
      <c r="DA108" s="24"/>
      <c r="DB108" s="24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O108" s="149"/>
      <c r="EP108" s="154"/>
      <c r="EQ108" s="154"/>
      <c r="ER108" s="154"/>
      <c r="FW108" s="360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P108" s="149"/>
      <c r="GQ108" s="154"/>
      <c r="GR108" s="154"/>
      <c r="GS108" s="154"/>
    </row>
    <row r="109" spans="77:207" ht="14.1" hidden="1" customHeight="1">
      <c r="BY109" s="136"/>
      <c r="BZ109" s="129"/>
      <c r="CA109" s="128">
        <f t="shared" si="55"/>
        <v>38</v>
      </c>
      <c r="CB109" s="129">
        <f>IF(SUM(CB$91:CB108)=0,CC109,0)</f>
        <v>0</v>
      </c>
      <c r="CC109" s="129">
        <f>IF(H$5&lt;38,0,IF(K47="G",0,IF(K47="C",0,IF(K47="M",0,IF(K47="K",0,IF(AND(OR($H$11="FULL",$H$11="AUTO"),K47="D"),0,38))))))</f>
        <v>0</v>
      </c>
      <c r="CD109" s="128" t="str">
        <f>IF($H$11="NONE","ENTER CIRCUIT #38 LOAD IDENTIFIER  ( G, C, M, K )","ENTER CIRCUIT #38 LOAD IDENTIFIER  ( G, D, C, M, K )")</f>
        <v>ENTER CIRCUIT #38 LOAD IDENTIFIER  ( G, D, C, M, K )</v>
      </c>
      <c r="CE109" s="129">
        <f>IF(SUM(CE$91:CE108)=0,CF109,0)</f>
        <v>0</v>
      </c>
      <c r="CF109" s="129">
        <f>IF(H$5&lt;38,0,IF(ISBLANK(L47)=TRUE,38,IF(L47=" ",0,IF(L47="H",0,38))))</f>
        <v>0</v>
      </c>
      <c r="CG109" s="128" t="s">
        <v>183</v>
      </c>
      <c r="CH109" s="129">
        <f>IF(SUM(CH$91:CH108)=0,CI109,0)</f>
        <v>0</v>
      </c>
      <c r="CI109" s="132">
        <f>IF($H$5&lt;38,0,IF(ISBLANK($M47)=TRUE,38,IF($M47="N",0,IF($M47=" ",0,38))))</f>
        <v>0</v>
      </c>
      <c r="CJ109" s="128" t="s">
        <v>427</v>
      </c>
      <c r="CK109" s="128"/>
      <c r="CL109" s="128"/>
      <c r="CM109" s="128"/>
      <c r="CN109" s="128"/>
      <c r="CO109" s="128"/>
      <c r="CP109" s="128"/>
      <c r="CQ109" s="37"/>
      <c r="CU109" s="24"/>
      <c r="CX109" s="24"/>
      <c r="CY109" s="24"/>
      <c r="CZ109" s="24"/>
      <c r="DA109" s="24"/>
      <c r="DB109" s="24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 t="s">
        <v>68</v>
      </c>
      <c r="EG109" s="22" t="s">
        <v>68</v>
      </c>
      <c r="EO109" s="149"/>
      <c r="EP109" s="154"/>
      <c r="EQ109" s="154"/>
      <c r="ER109" s="154"/>
      <c r="EV109" s="16">
        <f>H8</f>
        <v>1</v>
      </c>
      <c r="FW109" s="360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 t="s">
        <v>68</v>
      </c>
      <c r="GH109" s="22" t="s">
        <v>68</v>
      </c>
      <c r="GP109" s="149"/>
      <c r="GQ109" s="154"/>
      <c r="GR109" s="154"/>
      <c r="GS109" s="154"/>
    </row>
    <row r="110" spans="77:207" ht="14.1" hidden="1" customHeight="1">
      <c r="BZ110" s="136"/>
      <c r="CA110" s="128">
        <f t="shared" si="55"/>
        <v>40</v>
      </c>
      <c r="CB110" s="129">
        <f>IF(SUM(CB$91:CB109)=0,CC110,0)</f>
        <v>0</v>
      </c>
      <c r="CC110" s="129">
        <f>IF(H$5&lt;40,0,IF(K48="G",0,IF(K48="C",0,IF(K48="M",0,IF(K48="K",0,IF(AND(OR($H$11="FULL",$H$11="AUTO"),OR($H$8=1,$H$8="3Y"),K48="D"),0,40))))))</f>
        <v>0</v>
      </c>
      <c r="CD110" s="128" t="str">
        <f>IF($H$11="NONE","ENTER CIRCUIT #40 LOAD IDENTIFIER  ( G, C, M, K )",IF($H$8="3D","ENTER CIRCUIT #40 LOAD IDENTIFIER  ( G, C, M, K )","ENTER CIRCUIT #40 LOAD IDENTIFIER  ( G, D, C, M, K )"))</f>
        <v>ENTER CIRCUIT #40 LOAD IDENTIFIER  ( G, D, C, M, K )</v>
      </c>
      <c r="CE110" s="129">
        <f>IF(SUM(CE$91:CE109)=0,CF110,0)</f>
        <v>0</v>
      </c>
      <c r="CF110" s="129">
        <f>IF(H$5&lt;40,0,IF(ISBLANK(L48)=TRUE,40,IF(L48=" ",0,IF(L48="H",0,40))))</f>
        <v>0</v>
      </c>
      <c r="CG110" s="128" t="s">
        <v>185</v>
      </c>
      <c r="CH110" s="129">
        <f>IF(SUM(CH$91:CH109)=0,CI110,0)</f>
        <v>0</v>
      </c>
      <c r="CI110" s="132">
        <f>IF($H$5&lt;40,0,IF(ISBLANK($M48)=TRUE,40,IF($M48=" ",0,IF(AND($H$8&lt;&gt;"3D",$M48="N"),0,40))))</f>
        <v>0</v>
      </c>
      <c r="CJ110" s="128" t="str">
        <f>IF($H$8&lt;&gt;"3D","ENTER CIRCUIT #40 NEUTRAL IDENTIFIER  ( N or SPACE )","ENTER CIRCUIT #40 NEUTRAL IDENTIFIER  ( SPACE )")</f>
        <v>ENTER CIRCUIT #40 NEUTRAL IDENTIFIER  ( N or SPACE )</v>
      </c>
      <c r="CK110" s="128"/>
      <c r="CL110" s="128"/>
      <c r="CM110" s="128"/>
      <c r="CN110" s="128"/>
      <c r="CO110" s="128"/>
      <c r="CP110" s="128"/>
      <c r="CQ110" s="37"/>
      <c r="CU110" s="24"/>
      <c r="CY110" s="23"/>
      <c r="DB110" s="24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 t="s">
        <v>38</v>
      </c>
      <c r="EG110" s="22" t="s">
        <v>68</v>
      </c>
      <c r="EK110" s="295"/>
      <c r="EO110" s="149"/>
      <c r="EP110" s="154"/>
      <c r="EQ110" s="154"/>
      <c r="ER110" s="154"/>
      <c r="FW110" s="360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 t="s">
        <v>38</v>
      </c>
      <c r="GH110" s="22" t="s">
        <v>68</v>
      </c>
      <c r="GL110" s="295"/>
      <c r="GP110" s="149"/>
      <c r="GQ110" s="154"/>
      <c r="GR110" s="154"/>
      <c r="GS110" s="154"/>
      <c r="GV110" s="23" t="s">
        <v>820</v>
      </c>
      <c r="GW110" s="16" t="str">
        <f>IF(H8=1,GQ101,IF(H8="3Y",GR103))</f>
        <v>0.0</v>
      </c>
    </row>
    <row r="111" spans="77:207" ht="14.1" hidden="1" customHeight="1">
      <c r="BZ111" s="136"/>
      <c r="CA111" s="128">
        <f t="shared" si="55"/>
        <v>42</v>
      </c>
      <c r="CB111" s="129">
        <f>IF(SUM(CB$91:CB110)=0,CC111,0)</f>
        <v>0</v>
      </c>
      <c r="CC111" s="129">
        <f>IF(H$5&lt;42,0,IF(K49="G",0,IF(K49="C",0,IF(K49="M",0,IF(K49="K",0,IF(AND(OR($H$11="FULL",$H$11="AUTO"),K49="D"),0,42))))))</f>
        <v>0</v>
      </c>
      <c r="CD111" s="128" t="str">
        <f>IF($H$11="NONE","ENTER CIRCUIT #42 LOAD IDENTIFIER  ( G, C, M, K )","ENTER CIRCUIT #42 LOAD IDENTIFIER  ( G, D, C, M, K )")</f>
        <v>ENTER CIRCUIT #42 LOAD IDENTIFIER  ( G, D, C, M, K )</v>
      </c>
      <c r="CE111" s="129">
        <f>IF(SUM(CE$91:CE110)=0,CF111,0)</f>
        <v>0</v>
      </c>
      <c r="CF111" s="129">
        <f>IF(H$5&lt;42,0,IF(ISBLANK(L49)=TRUE,42,IF(L49=" ",0,IF(L49="H",0,42))))</f>
        <v>0</v>
      </c>
      <c r="CG111" s="128" t="s">
        <v>187</v>
      </c>
      <c r="CH111" s="129">
        <f>IF(SUM(CH$91:CH110)=0,CI111,0)</f>
        <v>0</v>
      </c>
      <c r="CI111" s="132">
        <f>IF($H$5&lt;42,0,IF(ISBLANK($M49)=TRUE,42,IF($M49="N",0,IF($M49=" ",0,42))))</f>
        <v>0</v>
      </c>
      <c r="CJ111" s="128" t="s">
        <v>428</v>
      </c>
      <c r="CK111" s="128"/>
      <c r="CL111" s="128"/>
      <c r="CM111" s="128"/>
      <c r="CN111" s="128"/>
      <c r="CO111" s="128"/>
      <c r="CP111" s="128"/>
      <c r="CQ111" s="37"/>
      <c r="CY111" s="23"/>
      <c r="DB111" s="24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 t="s">
        <v>7</v>
      </c>
      <c r="EG111" s="22" t="s">
        <v>38</v>
      </c>
      <c r="EO111" s="149"/>
      <c r="EP111" s="154"/>
      <c r="EQ111" s="154"/>
      <c r="ER111" s="154"/>
      <c r="ET111" s="1" t="s">
        <v>826</v>
      </c>
      <c r="EU111" s="1" t="s">
        <v>536</v>
      </c>
      <c r="EV111" s="568" t="str">
        <f>IF(H8=1,EU96,IF(H8="3Y",EV96,IF(H8="3D",EX96,0)))</f>
        <v>0.0</v>
      </c>
      <c r="EW111" s="303"/>
      <c r="FW111" s="360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 t="s">
        <v>7</v>
      </c>
      <c r="GH111" s="22" t="s">
        <v>38</v>
      </c>
      <c r="GP111" s="149"/>
      <c r="GQ111" s="154"/>
      <c r="GR111" s="154"/>
      <c r="GS111" s="154"/>
    </row>
    <row r="112" spans="77:207" ht="14.1" hidden="1" customHeight="1">
      <c r="BZ112" s="136"/>
      <c r="CA112" s="128">
        <f t="shared" ref="CA112:CA132" si="60">CA111+2</f>
        <v>44</v>
      </c>
      <c r="CB112" s="129">
        <f>IF(SUM(CB$91:CB111)=0,CC112,0)</f>
        <v>0</v>
      </c>
      <c r="CC112" s="129">
        <f>IF(H$5&lt;44,0,IF(K50="G",0,IF(K50="C",0,IF(K50="M",0,IF(K50="K",0,IF(AND(OR($H$11="FULL",$H$11="AUTO"),K50="D"),0,44))))))</f>
        <v>0</v>
      </c>
      <c r="CD112" s="128" t="str">
        <f>IF($H$11="NONE","ENTER CIRCUIT #44 LOAD IDENTIFIER  ( G, C, M, K )","ENTER CIRCUIT #44 LOAD IDENTIFIER  ( G, D, C, M, K )")</f>
        <v>ENTER CIRCUIT #44 LOAD IDENTIFIER  ( G, D, C, M, K )</v>
      </c>
      <c r="CE112" s="129">
        <f>IF(SUM(CE$91:CE111)=0,CF112,0)</f>
        <v>0</v>
      </c>
      <c r="CF112" s="129">
        <f>IF(H$5&lt;44,0,IF(ISBLANK(L50)=TRUE,44,IF(L50=" ",0,IF(L50="H",0,44))))</f>
        <v>0</v>
      </c>
      <c r="CG112" s="128" t="s">
        <v>339</v>
      </c>
      <c r="CH112" s="129">
        <f>IF(SUM(CH$91:CH111)=0,CI112,0)</f>
        <v>0</v>
      </c>
      <c r="CI112" s="132">
        <f>IF($H$5&lt;44,0,IF(ISBLANK($M50)=TRUE,44,IF($M50="N",0,IF($M50=" ",0,44))))</f>
        <v>0</v>
      </c>
      <c r="CJ112" s="128" t="s">
        <v>429</v>
      </c>
      <c r="CK112" s="128"/>
      <c r="CL112" s="128"/>
      <c r="CM112" s="128"/>
      <c r="CN112" s="128"/>
      <c r="CO112" s="128"/>
      <c r="CP112" s="128"/>
      <c r="CQ112" s="37"/>
      <c r="CY112" s="23"/>
      <c r="DB112" s="24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 t="s">
        <v>74</v>
      </c>
      <c r="EO112" s="149"/>
      <c r="EP112" s="154"/>
      <c r="EQ112" s="154"/>
      <c r="ER112" s="154"/>
      <c r="FW112" s="360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 t="s">
        <v>74</v>
      </c>
      <c r="GP112" s="149"/>
      <c r="GQ112" s="154"/>
      <c r="GR112" s="154"/>
      <c r="GS112" s="154"/>
    </row>
    <row r="113" spans="78:202" ht="14.1" hidden="1" customHeight="1">
      <c r="BZ113" s="136"/>
      <c r="CA113" s="128">
        <f t="shared" si="60"/>
        <v>46</v>
      </c>
      <c r="CB113" s="129">
        <f>IF(SUM(CB$91:CB112)=0,CC113,0)</f>
        <v>0</v>
      </c>
      <c r="CC113" s="129">
        <f>IF(H$5&lt;46,0,IF(K51="G",0,IF(K51="C",0,IF(K51="M",0,IF(K51="K",0,IF(AND(OR($H$11="FULL",$H$11="AUTO"),OR($H$8=1,$H$8="3Y"),K51="D"),0,46))))))</f>
        <v>0</v>
      </c>
      <c r="CD113" s="128" t="str">
        <f>IF($H$11="NONE","ENTER CIRCUIT #46 LOAD IDENTIFIER  ( G, C, M, K )",IF($H$8="3D","ENTER CIRCUIT #46 LOAD IDENTIFIER  ( G, C, M, K )","ENTER CIRCUIT #46 LOAD IDENTIFIER  ( G, D, C, M, K )"))</f>
        <v>ENTER CIRCUIT #46 LOAD IDENTIFIER  ( G, D, C, M, K )</v>
      </c>
      <c r="CE113" s="129">
        <f>IF(SUM(CE$91:CE112)=0,CF113,0)</f>
        <v>0</v>
      </c>
      <c r="CF113" s="129">
        <f>IF(H$5&lt;46,0,IF(ISBLANK(L51)=TRUE,46,IF(L51=" ",0,IF(L51="H",0,46))))</f>
        <v>0</v>
      </c>
      <c r="CG113" s="128" t="s">
        <v>340</v>
      </c>
      <c r="CH113" s="129">
        <f>IF(SUM(CH$91:CH112)=0,CI113,0)</f>
        <v>0</v>
      </c>
      <c r="CI113" s="132">
        <f>IF($H$5&lt;46,0,IF(ISBLANK($M51)=TRUE,46,IF($M51=" ",0,IF(AND($H$8&lt;&gt;"3D",$M51="N"),0,46))))</f>
        <v>0</v>
      </c>
      <c r="CJ113" s="128" t="str">
        <f>IF($H$8&lt;&gt;"3D","ENTER CIRCUIT #46 NEUTRAL IDENTIFIER  ( N or SPACE )","ENTER CIRCUIT #46 NEUTRAL IDENTIFIER  ( SPACE )")</f>
        <v>ENTER CIRCUIT #46 NEUTRAL IDENTIFIER  ( N or SPACE )</v>
      </c>
      <c r="CK113" s="128"/>
      <c r="CL113" s="128"/>
      <c r="CM113" s="128"/>
      <c r="CN113" s="128"/>
      <c r="CO113" s="128"/>
      <c r="CP113" s="128"/>
      <c r="CQ113" s="37"/>
      <c r="CY113" s="23"/>
      <c r="DB113" s="24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>
        <v>3</v>
      </c>
      <c r="EG113" s="22" t="s">
        <v>169</v>
      </c>
      <c r="EO113" s="149"/>
      <c r="EP113" s="154"/>
      <c r="EQ113" s="154"/>
      <c r="ER113" s="154"/>
      <c r="ET113" s="1" t="s">
        <v>56</v>
      </c>
      <c r="EU113" s="1" t="s">
        <v>536</v>
      </c>
      <c r="EV113" s="568" t="str">
        <f>EW96</f>
        <v>0.0</v>
      </c>
      <c r="FW113" s="360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>
        <v>3</v>
      </c>
      <c r="GH113" s="22" t="s">
        <v>169</v>
      </c>
      <c r="GP113" s="149"/>
      <c r="GQ113" s="154"/>
      <c r="GR113" s="154"/>
      <c r="GS113" s="154"/>
    </row>
    <row r="114" spans="78:202" ht="14.1" hidden="1" customHeight="1">
      <c r="BZ114" s="136"/>
      <c r="CA114" s="128">
        <f t="shared" si="60"/>
        <v>48</v>
      </c>
      <c r="CB114" s="129">
        <f>IF(SUM(CB$91:CB113)=0,CC114,0)</f>
        <v>0</v>
      </c>
      <c r="CC114" s="129">
        <f>IF(H$5&lt;48,0,IF(K52="G",0,IF(K52="C",0,IF(K52="M",0,IF(K52="K",0,IF(AND(OR($H$11="FULL",$H$11="AUTO"),K52="D"),0,48))))))</f>
        <v>0</v>
      </c>
      <c r="CD114" s="128" t="str">
        <f>IF($H$11="NONE","ENTER CIRCUIT #48 LOAD IDENTIFIER  ( G, C, M, K )","ENTER CIRCUIT #48 LOAD IDENTIFIER  ( G, D, C, M, K )")</f>
        <v>ENTER CIRCUIT #48 LOAD IDENTIFIER  ( G, D, C, M, K )</v>
      </c>
      <c r="CE114" s="129">
        <f>IF(SUM(CE$91:CE113)=0,CF114,0)</f>
        <v>0</v>
      </c>
      <c r="CF114" s="129">
        <f>IF(H$5&lt;48,0,IF(ISBLANK(L52)=TRUE,48,IF(L52=" ",0,IF(L52="H",0,48))))</f>
        <v>0</v>
      </c>
      <c r="CG114" s="128" t="s">
        <v>341</v>
      </c>
      <c r="CH114" s="129">
        <f>IF(SUM(CH$91:CH113)=0,CI114,0)</f>
        <v>0</v>
      </c>
      <c r="CI114" s="132">
        <f>IF($H$5&lt;48,0,IF(ISBLANK($M52)=TRUE,48,IF($M52="N",0,IF($M52=" ",0,48))))</f>
        <v>0</v>
      </c>
      <c r="CJ114" s="128" t="s">
        <v>430</v>
      </c>
      <c r="CK114" s="128"/>
      <c r="CL114" s="128"/>
      <c r="CM114" s="128"/>
      <c r="CN114" s="128"/>
      <c r="CO114" s="128"/>
      <c r="CP114" s="128"/>
      <c r="CQ114" s="37"/>
      <c r="DB114" s="24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>
        <v>4</v>
      </c>
      <c r="EG114" s="22" t="s">
        <v>173</v>
      </c>
      <c r="EO114" s="149"/>
      <c r="EP114" s="154"/>
      <c r="EQ114" s="154"/>
      <c r="ER114" s="154"/>
      <c r="FW114" s="360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>
        <v>4</v>
      </c>
      <c r="GH114" s="22" t="s">
        <v>173</v>
      </c>
      <c r="GP114" s="149"/>
      <c r="GQ114" s="154"/>
      <c r="GR114" s="154"/>
      <c r="GS114" s="154"/>
    </row>
    <row r="115" spans="78:202" ht="14.1" hidden="1" customHeight="1">
      <c r="BZ115" s="136"/>
      <c r="CA115" s="128">
        <f t="shared" si="60"/>
        <v>50</v>
      </c>
      <c r="CB115" s="129">
        <f>IF(SUM(CB$91:CB114)=0,CC115,0)</f>
        <v>0</v>
      </c>
      <c r="CC115" s="129">
        <f>IF(H$5&lt;50,0,IF(K53="G",0,IF(K53="C",0,IF(K53="M",0,IF(K53="K",0,IF(AND(OR($H$11="FULL",$H$11="AUTO"),K53="D"),0,50))))))</f>
        <v>0</v>
      </c>
      <c r="CD115" s="128" t="str">
        <f>IF($H$11="NONE","ENTER CIRCUIT #50 LOAD IDENTIFIER  ( G, C, M, K )","ENTER CIRCUIT #50 LOAD IDENTIFIER  ( G, D, C, M, K )")</f>
        <v>ENTER CIRCUIT #50 LOAD IDENTIFIER  ( G, D, C, M, K )</v>
      </c>
      <c r="CE115" s="129">
        <f>IF(SUM(CE$91:CE114)=0,CF115,0)</f>
        <v>0</v>
      </c>
      <c r="CF115" s="129">
        <f>IF(H$5&lt;50,0,IF(ISBLANK(L53)=TRUE,50,IF(L53=" ",0,IF(L53="H",0,50))))</f>
        <v>0</v>
      </c>
      <c r="CG115" s="128" t="s">
        <v>342</v>
      </c>
      <c r="CH115" s="129">
        <f>IF(SUM(CH$91:CH114)=0,CI115,0)</f>
        <v>0</v>
      </c>
      <c r="CI115" s="132">
        <f>IF($H$5&lt;50,0,IF(ISBLANK($M53)=TRUE,50,IF($M53="N",0,IF($M53=" ",0,50))))</f>
        <v>0</v>
      </c>
      <c r="CJ115" s="128" t="s">
        <v>431</v>
      </c>
      <c r="CK115" s="128"/>
      <c r="CL115" s="128"/>
      <c r="CM115" s="128"/>
      <c r="CN115" s="128"/>
      <c r="CO115" s="128"/>
      <c r="CP115" s="128"/>
      <c r="CQ115" s="37"/>
      <c r="DB115" s="24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>
        <v>5</v>
      </c>
      <c r="EG115" s="22" t="s">
        <v>76</v>
      </c>
      <c r="EN115" s="1" t="s">
        <v>125</v>
      </c>
      <c r="EO115" s="149"/>
      <c r="EP115" s="154"/>
      <c r="EQ115" s="154"/>
      <c r="ER115" s="154"/>
      <c r="FW115" s="360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>
        <v>5</v>
      </c>
      <c r="GH115" s="22" t="s">
        <v>76</v>
      </c>
      <c r="GO115" s="1" t="s">
        <v>125</v>
      </c>
      <c r="GP115" s="149"/>
      <c r="GQ115" s="154"/>
      <c r="GR115" s="154"/>
      <c r="GS115" s="154"/>
    </row>
    <row r="116" spans="78:202" ht="14.1" hidden="1" customHeight="1">
      <c r="BZ116" s="136"/>
      <c r="CA116" s="128">
        <f t="shared" si="60"/>
        <v>52</v>
      </c>
      <c r="CB116" s="129">
        <f>IF(SUM(CB$91:CB115)=0,CC116,0)</f>
        <v>0</v>
      </c>
      <c r="CC116" s="129">
        <f>IF(H$5&lt;52,0,IF(K54="G",0,IF(K54="C",0,IF(K54="M",0,IF(K54="K",0,IF(AND(OR($H$11="FULL",$H$11="AUTO"),OR($H$8=1,$H$8="3Y"),K54="D"),0,52))))))</f>
        <v>0</v>
      </c>
      <c r="CD116" s="128" t="str">
        <f>IF($H$11="NONE","ENTER CIRCUIT #52 LOAD IDENTIFIER  ( G, C, M, K )",IF($H$8="3D","ENTER CIRCUIT #52 LOAD IDENTIFIER  ( G, C, M, K )","ENTER CIRCUIT #52 LOAD IDENTIFIER  ( G, D, C, M, K )"))</f>
        <v>ENTER CIRCUIT #52 LOAD IDENTIFIER  ( G, D, C, M, K )</v>
      </c>
      <c r="CE116" s="129">
        <f>IF(SUM(CE$91:CE115)=0,CF116,0)</f>
        <v>0</v>
      </c>
      <c r="CF116" s="129">
        <f>IF(H$5&lt;52,0,IF(ISBLANK(L54)=TRUE,52,IF(L54=" ",0,IF(L54="H",0,52))))</f>
        <v>0</v>
      </c>
      <c r="CG116" s="128" t="s">
        <v>343</v>
      </c>
      <c r="CH116" s="129">
        <f>IF(SUM(CH$91:CH115)=0,CI116,0)</f>
        <v>0</v>
      </c>
      <c r="CI116" s="132">
        <f>IF($H$5&lt;52,0,IF(ISBLANK($M54)=TRUE,52,IF($M54=" ",0,IF(AND($H$8&lt;&gt;"3D",$M54="N"),0,52))))</f>
        <v>0</v>
      </c>
      <c r="CJ116" s="128" t="str">
        <f>IF($H$8&lt;&gt;"3D","ENTER CIRCUIT #52 NEUTRAL IDENTIFIER  ( N or SPACE )","ENTER CIRCUIT #52 NEUTRAL IDENTIFIER  ( SPACE )")</f>
        <v>ENTER CIRCUIT #52 NEUTRAL IDENTIFIER  ( N or SPACE )</v>
      </c>
      <c r="CK116" s="128"/>
      <c r="CL116" s="128"/>
      <c r="CM116" s="128"/>
      <c r="CN116" s="128"/>
      <c r="CO116" s="128"/>
      <c r="CP116" s="128"/>
      <c r="CQ116" s="1"/>
      <c r="DB116" s="24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>
        <v>6</v>
      </c>
      <c r="EG116" s="22" t="s">
        <v>80</v>
      </c>
      <c r="EN116" s="1" t="str">
        <f>IF(X15=0,"Single Phase","Single Phase Secondary")</f>
        <v>Single Phase</v>
      </c>
      <c r="EO116" s="303" t="str">
        <f>EP107</f>
        <v>( 2 X 50' L X 0.8080 R X 0.0 A ÷ 1,000 )  = 0.0 VD</v>
      </c>
      <c r="EQ116" s="149"/>
      <c r="ER116" s="1" t="str">
        <f>IF(X15=0,"Voltage Drop %","Voltage Drop % Secondary")</f>
        <v>Voltage Drop %</v>
      </c>
      <c r="ES116" s="1" t="str">
        <f>EU98</f>
        <v>( 0.0 VD ÷ 240 V X 100 ) = 0.0 % VD</v>
      </c>
      <c r="FW116" s="360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>
        <v>6</v>
      </c>
      <c r="GH116" s="22" t="s">
        <v>80</v>
      </c>
      <c r="GO116" s="1" t="s">
        <v>761</v>
      </c>
      <c r="GP116" s="303" t="str">
        <f>GQ107</f>
        <v>( 2 X 0' L X 0.8080 R X 0.0 A ÷ 1,000 )  = 0.0 VD</v>
      </c>
      <c r="GR116" s="149"/>
      <c r="GS116" s="1" t="s">
        <v>763</v>
      </c>
      <c r="GT116" s="1" t="str">
        <f>GV98</f>
        <v>( 0.0 VD ÷ 240 V X 100 ) = 0.0 % VD</v>
      </c>
    </row>
    <row r="117" spans="78:202" ht="14.1" hidden="1" customHeight="1">
      <c r="BZ117" s="136"/>
      <c r="CA117" s="128">
        <f t="shared" si="60"/>
        <v>54</v>
      </c>
      <c r="CB117" s="129">
        <f>IF(SUM(CB$91:CB116)=0,CC117,0)</f>
        <v>0</v>
      </c>
      <c r="CC117" s="129">
        <f>IF(H$5&lt;54,0,IF(K55="G",0,IF(K55="C",0,IF(K55="M",0,IF(K55="K",0,IF(AND(OR($H$11="FULL",$H$11="AUTO"),K55="D"),0,54))))))</f>
        <v>0</v>
      </c>
      <c r="CD117" s="128" t="str">
        <f>IF($H$11="NONE","ENTER CIRCUIT #54 LOAD IDENTIFIER  ( G, C, M, K )","ENTER CIRCUIT #54 LOAD IDENTIFIER  ( G, D, C, M, K )")</f>
        <v>ENTER CIRCUIT #54 LOAD IDENTIFIER  ( G, D, C, M, K )</v>
      </c>
      <c r="CE117" s="129">
        <f>IF(SUM(CE$91:CE116)=0,CF117,0)</f>
        <v>0</v>
      </c>
      <c r="CF117" s="129">
        <f>IF(H$5&lt;54,0,IF(ISBLANK(L55)=TRUE,54,IF(L55=" ",0,IF(L55="H",0,54))))</f>
        <v>0</v>
      </c>
      <c r="CG117" s="128" t="s">
        <v>344</v>
      </c>
      <c r="CH117" s="129">
        <f>IF(SUM(CH$91:CH116)=0,CI117,0)</f>
        <v>0</v>
      </c>
      <c r="CI117" s="132">
        <f>IF($H$5&lt;54,0,IF(ISBLANK($M55)=TRUE,54,IF($M55="N",0,IF($M55=" ",0,54))))</f>
        <v>0</v>
      </c>
      <c r="CJ117" s="128" t="s">
        <v>432</v>
      </c>
      <c r="CK117" s="128"/>
      <c r="CL117" s="128"/>
      <c r="CM117" s="128"/>
      <c r="CN117" s="128"/>
      <c r="CO117" s="128"/>
      <c r="CP117" s="128"/>
      <c r="CQ117" s="1"/>
      <c r="DB117" s="24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>
        <v>7</v>
      </c>
      <c r="EG117" s="22" t="s">
        <v>84</v>
      </c>
      <c r="EN117" s="1" t="str">
        <f>IF(X15=0,"Three Phase","Three Phase Secondary")</f>
        <v>Three Phase</v>
      </c>
      <c r="EO117" s="303" t="str">
        <f>EQ107</f>
        <v>( 2 X 50' L X 0.8080 R X 0.0 A ÷ 1,000 X 0.866 )  = 0.0 VD</v>
      </c>
      <c r="ER117" s="1" t="str">
        <f>IF(X15=0,"Voltage Drop %","Voltage Drop % Secondary")</f>
        <v>Voltage Drop %</v>
      </c>
      <c r="ES117" s="1" t="str">
        <f>EV98</f>
        <v>( 0.0 VD ÷ 240 V X 100 ) = 0.0 % VD</v>
      </c>
      <c r="FW117" s="360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>
        <v>7</v>
      </c>
      <c r="GH117" s="22" t="s">
        <v>84</v>
      </c>
      <c r="GO117" s="1" t="s">
        <v>762</v>
      </c>
      <c r="GP117" s="303" t="str">
        <f>GR107</f>
        <v>( 2 X 0' L X 0.8080 R X 0.0 A ÷ 1,000 X 0.866 )  = 0.0 VD</v>
      </c>
      <c r="GS117" s="1" t="s">
        <v>763</v>
      </c>
      <c r="GT117" s="1" t="str">
        <f>GW98</f>
        <v>( 0.0 VD ÷ 240 V X 100 ) = 0.0 % VD</v>
      </c>
    </row>
    <row r="118" spans="78:202" ht="14.1" hidden="1" customHeight="1">
      <c r="BZ118" s="136"/>
      <c r="CA118" s="128">
        <f t="shared" si="60"/>
        <v>56</v>
      </c>
      <c r="CB118" s="129">
        <f>IF(SUM(CB$91:CB117)=0,CC118,0)</f>
        <v>0</v>
      </c>
      <c r="CC118" s="129">
        <f>IF(H$5&lt;56,0,IF(K56="G",0,IF(K56="C",0,IF(K56="M",0,IF(K56="K",0,IF(AND(OR($H$11="FULL",$H$11="AUTO"),K56="D"),0,56))))))</f>
        <v>0</v>
      </c>
      <c r="CD118" s="128" t="str">
        <f>IF($H$11="NONE","ENTER CIRCUIT #56 LOAD IDENTIFIER  ( G, C, M, K )","ENTER CIRCUIT #56 LOAD IDENTIFIER  ( G, D, C, M, K )")</f>
        <v>ENTER CIRCUIT #56 LOAD IDENTIFIER  ( G, D, C, M, K )</v>
      </c>
      <c r="CE118" s="129">
        <f>IF(SUM(CE$91:CE117)=0,CF118,0)</f>
        <v>0</v>
      </c>
      <c r="CF118" s="129">
        <f>IF(H$5&lt;56,0,IF(ISBLANK(L56)=TRUE,56,IF(L56=" ",0,IF(L56="H",0,56))))</f>
        <v>0</v>
      </c>
      <c r="CG118" s="128" t="s">
        <v>345</v>
      </c>
      <c r="CH118" s="129">
        <f>IF(SUM(CH$91:CH117)=0,CI118,0)</f>
        <v>0</v>
      </c>
      <c r="CI118" s="132">
        <f>IF($H$5&lt;56,0,IF(ISBLANK($M56)=TRUE,56,IF($M56="N",0,IF($M56=" ",0,56))))</f>
        <v>0</v>
      </c>
      <c r="CJ118" s="128" t="s">
        <v>433</v>
      </c>
      <c r="CK118" s="128"/>
      <c r="CL118" s="128"/>
      <c r="CM118" s="128"/>
      <c r="CN118" s="128"/>
      <c r="CO118" s="128"/>
      <c r="CP118" s="128"/>
      <c r="CQ118" s="1"/>
      <c r="DB118" s="24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>
        <v>8</v>
      </c>
      <c r="EG118" s="22" t="s">
        <v>83</v>
      </c>
      <c r="EN118" s="1" t="s">
        <v>555</v>
      </c>
      <c r="EO118" s="1" t="str">
        <f>ES107</f>
        <v>( 2 X 50' L X 0.8080 R X 0.0 A ÷ 1,000 )  = 0.0 VD</v>
      </c>
      <c r="ER118" s="1" t="s">
        <v>554</v>
      </c>
      <c r="ES118" s="1" t="str">
        <f>EX98</f>
        <v>( 0.0 VD ÷ 240 V X 100 ) = 0.0 % VD</v>
      </c>
      <c r="FW118" s="360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>
        <v>8</v>
      </c>
      <c r="GH118" s="22" t="s">
        <v>83</v>
      </c>
      <c r="GO118" s="1" t="s">
        <v>555</v>
      </c>
      <c r="GP118" s="1" t="str">
        <f>GT107</f>
        <v>( 2 X 0' L X 0.0000 R X 0.0 A ÷ 1,000 )  = 0.0 VD</v>
      </c>
      <c r="GS118" s="1" t="s">
        <v>554</v>
      </c>
      <c r="GT118" s="1" t="str">
        <f>GY98</f>
        <v>( 0.0 VD ÷ 240 V X 100 ) = 0.0 % VD</v>
      </c>
    </row>
    <row r="119" spans="78:202" ht="14.1" hidden="1" customHeight="1">
      <c r="BZ119" s="136"/>
      <c r="CA119" s="128">
        <f t="shared" si="60"/>
        <v>58</v>
      </c>
      <c r="CB119" s="129">
        <f>IF(SUM(CB$91:CB118)=0,CC119,0)</f>
        <v>0</v>
      </c>
      <c r="CC119" s="129">
        <f>IF(H$5&lt;58,0,IF(K57="G",0,IF(K57="C",0,IF(K57="M",0,IF(K57="K",0,IF(AND(OR($H$11="FULL",$H$11="AUTO"),OR($H$8=1,$H$8="3Y"),K57="D"),0,58))))))</f>
        <v>0</v>
      </c>
      <c r="CD119" s="128" t="str">
        <f>IF($H$11="NONE","ENTER CIRCUIT #58 LOAD IDENTIFIER  ( G, C, M, K )",IF($H$8="3D","ENTER CIRCUIT #58 LOAD IDENTIFIER  ( G, C, M, K )","ENTER CIRCUIT #58 LOAD IDENTIFIER  ( G, D, C, M, K )"))</f>
        <v>ENTER CIRCUIT #58 LOAD IDENTIFIER  ( G, D, C, M, K )</v>
      </c>
      <c r="CE119" s="129">
        <f>IF(SUM(CE$91:CE118)=0,CF119,0)</f>
        <v>0</v>
      </c>
      <c r="CF119" s="129">
        <f>IF(H$5&lt;58,0,IF(ISBLANK(L57)=TRUE,58,IF(L57=" ",0,IF(L57="H",0,58))))</f>
        <v>0</v>
      </c>
      <c r="CG119" s="128" t="s">
        <v>346</v>
      </c>
      <c r="CH119" s="129">
        <f>IF(SUM(CH$91:CH118)=0,CI119,0)</f>
        <v>0</v>
      </c>
      <c r="CI119" s="132">
        <f>IF($H$5&lt;58,0,IF(ISBLANK($M57)=TRUE,58,IF($M57=" ",0,IF(AND($H$8&lt;&gt;"3D",$M57="N"),0,58))))</f>
        <v>0</v>
      </c>
      <c r="CJ119" s="128" t="str">
        <f>IF($H$8&lt;&gt;"3D","ENTER CIRCUIT #58 NEUTRAL IDENTIFIER  ( N or SPACE )","ENTER CIRCUIT #58 NEUTRAL IDENTIFIER  ( SPACE )")</f>
        <v>ENTER CIRCUIT #58 NEUTRAL IDENTIFIER  ( N or SPACE )</v>
      </c>
      <c r="CK119" s="128"/>
      <c r="CL119" s="128"/>
      <c r="CM119" s="128"/>
      <c r="CN119" s="128"/>
      <c r="CO119" s="128"/>
      <c r="CP119" s="128"/>
      <c r="CQ119" s="1"/>
      <c r="DB119" s="24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>
        <v>9</v>
      </c>
      <c r="EG119" s="22" t="s">
        <v>87</v>
      </c>
      <c r="EN119" s="1" t="s">
        <v>556</v>
      </c>
      <c r="EO119" s="303" t="str">
        <f>ER107</f>
        <v>( 2 X 50' L X 0.8080 R X 0.0 A ÷ 1,000 X 0.866 )  = 0.0 VD</v>
      </c>
      <c r="ER119" s="1" t="s">
        <v>557</v>
      </c>
      <c r="ES119" s="1" t="str">
        <f>EW98</f>
        <v>( 0.0 VD ÷ 240 V X 100 ) = 0.0 % VD</v>
      </c>
      <c r="FW119" s="360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>
        <v>9</v>
      </c>
      <c r="GH119" s="22" t="s">
        <v>87</v>
      </c>
      <c r="GO119" s="1" t="s">
        <v>556</v>
      </c>
      <c r="GP119" s="303" t="str">
        <f>GS107</f>
        <v>( 2 X 0' L X 0.0000 R X 0.0 A ÷ 1,000 X 0.866 )  = 0.0 VD</v>
      </c>
      <c r="GS119" s="1" t="s">
        <v>557</v>
      </c>
      <c r="GT119" s="1" t="str">
        <f>GX98</f>
        <v>( 0.0 VD ÷ 240 V X 100 ) = 0.0 % VD</v>
      </c>
    </row>
    <row r="120" spans="78:202" ht="14.1" hidden="1" customHeight="1">
      <c r="BZ120" s="136"/>
      <c r="CA120" s="128">
        <f t="shared" si="60"/>
        <v>60</v>
      </c>
      <c r="CB120" s="129">
        <f>IF(SUM(CB$91:CB119)=0,CC120,0)</f>
        <v>0</v>
      </c>
      <c r="CC120" s="129">
        <f>IF(H$5&lt;60,0,IF(K58="G",0,IF(K58="C",0,IF(K58="M",0,IF(K58="K",0,IF(AND(OR($H$11="FULL",$H$11="AUTO"),K58="D"),0,60))))))</f>
        <v>0</v>
      </c>
      <c r="CD120" s="128" t="str">
        <f>IF($H$11="NONE","ENTER CIRCUIT #60 LOAD IDENTIFIER  ( G, C, M, K )","ENTER CIRCUIT #60 LOAD IDENTIFIER  ( G, D, C, M, K )")</f>
        <v>ENTER CIRCUIT #60 LOAD IDENTIFIER  ( G, D, C, M, K )</v>
      </c>
      <c r="CE120" s="129">
        <f>IF(SUM(CE$91:CE119)=0,CF120,0)</f>
        <v>0</v>
      </c>
      <c r="CF120" s="129">
        <f>IF(H$5&lt;60,0,IF(ISBLANK(L58)=TRUE,60,IF(L58=" ",0,IF(L58="H",0,60))))</f>
        <v>0</v>
      </c>
      <c r="CG120" s="128" t="s">
        <v>347</v>
      </c>
      <c r="CH120" s="129">
        <f>IF(SUM(CH$91:CH119)=0,CI120,0)</f>
        <v>0</v>
      </c>
      <c r="CI120" s="132">
        <f>IF($H$5&lt;60,0,IF(ISBLANK($M58)=TRUE,60,IF($M58="N",0,IF($M58=" ",0,60))))</f>
        <v>0</v>
      </c>
      <c r="CJ120" s="128" t="s">
        <v>434</v>
      </c>
      <c r="CK120" s="128"/>
      <c r="CL120" s="128"/>
      <c r="CM120" s="128"/>
      <c r="CN120" s="128"/>
      <c r="CO120" s="128"/>
      <c r="CP120" s="128"/>
      <c r="CQ120" s="1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>
        <v>10</v>
      </c>
      <c r="EG120" s="22" t="s">
        <v>93</v>
      </c>
      <c r="FW120" s="360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>
        <v>10</v>
      </c>
      <c r="GH120" s="22" t="s">
        <v>93</v>
      </c>
    </row>
    <row r="121" spans="78:202" ht="14.1" hidden="1" customHeight="1">
      <c r="BZ121" s="136"/>
      <c r="CA121" s="128">
        <f t="shared" si="60"/>
        <v>62</v>
      </c>
      <c r="CB121" s="129">
        <f>IF(SUM(CB$91:CB120)=0,CC121,0)</f>
        <v>0</v>
      </c>
      <c r="CC121" s="129">
        <f>IF(H$5&lt;62,0,IF(K59="G",0,IF(K59="C",0,IF(K59="M",0,IF(K59="K",0,IF(AND(OR($H$11="FULL",$H$11="AUTO"),K59="D"),0,62))))))</f>
        <v>0</v>
      </c>
      <c r="CD121" s="128" t="str">
        <f>IF($H$11="NONE","ENTER CIRCUIT #62 LOAD IDENTIFIER  ( G, C, M, K )","ENTER CIRCUIT #62 LOAD IDENTIFIER  ( G, D, C, M, K )")</f>
        <v>ENTER CIRCUIT #62 LOAD IDENTIFIER  ( G, D, C, M, K )</v>
      </c>
      <c r="CE121" s="129">
        <f>IF(SUM(CE$91:CE120)=0,CF121,0)</f>
        <v>0</v>
      </c>
      <c r="CF121" s="129">
        <f>IF(H$5&lt;62,0,IF(ISBLANK(L59)=TRUE,62,IF(L59=" ",0,IF(L59="H",0,62))))</f>
        <v>0</v>
      </c>
      <c r="CG121" s="128" t="s">
        <v>348</v>
      </c>
      <c r="CH121" s="129">
        <f>IF(SUM(CH$91:CH120)=0,CI121,0)</f>
        <v>0</v>
      </c>
      <c r="CI121" s="132">
        <f>IF($H$5&lt;62,0,IF(ISBLANK($M59)=TRUE,62,IF($M59="N",0,IF($M59=" ",0,62))))</f>
        <v>0</v>
      </c>
      <c r="CJ121" s="128" t="s">
        <v>435</v>
      </c>
      <c r="CK121" s="128"/>
      <c r="CL121" s="128"/>
      <c r="CM121" s="128"/>
      <c r="CN121" s="128"/>
      <c r="CO121" s="128"/>
      <c r="CP121" s="128"/>
      <c r="CQ121" s="1"/>
      <c r="DV121" s="22"/>
      <c r="DW121" s="22"/>
      <c r="DX121" s="22"/>
      <c r="DY121" s="22"/>
      <c r="DZ121" s="22"/>
      <c r="EA121" s="22"/>
      <c r="EB121" s="22"/>
      <c r="EC121" s="22"/>
      <c r="EF121" s="22">
        <v>11</v>
      </c>
      <c r="EG121" s="22" t="s">
        <v>97</v>
      </c>
      <c r="FW121" s="360"/>
      <c r="FX121" s="22"/>
      <c r="FY121" s="22"/>
      <c r="FZ121" s="22"/>
      <c r="GA121" s="22"/>
      <c r="GB121" s="22"/>
      <c r="GC121" s="22"/>
      <c r="GD121" s="22"/>
      <c r="GG121" s="22">
        <v>11</v>
      </c>
      <c r="GH121" s="22" t="s">
        <v>97</v>
      </c>
    </row>
    <row r="122" spans="78:202" ht="14.1" hidden="1" customHeight="1">
      <c r="BZ122" s="136"/>
      <c r="CA122" s="128">
        <f t="shared" si="60"/>
        <v>64</v>
      </c>
      <c r="CB122" s="129">
        <f>IF(SUM(CB$91:CB121)=0,CC122,0)</f>
        <v>0</v>
      </c>
      <c r="CC122" s="129">
        <f>IF(H$5&lt;64,0,IF(K60="G",0,IF(K60="C",0,IF(K60="M",0,IF(K60="K",0,IF(AND(OR($H$11="FULL",$H$11="AUTO"),OR($H$8=1,$H$8="3Y"),K60="D"),0,64))))))</f>
        <v>0</v>
      </c>
      <c r="CD122" s="128" t="str">
        <f>IF($H$11="NONE","ENTER CIRCUIT #64 LOAD IDENTIFIER  ( G, C, M, K )",IF($H$8="3D","ENTER CIRCUIT #64 LOAD IDENTIFIER  ( G, C, M, K )","ENTER CIRCUIT #64 LOAD IDENTIFIER  ( G, D, C, M, K )"))</f>
        <v>ENTER CIRCUIT #64 LOAD IDENTIFIER  ( G, D, C, M, K )</v>
      </c>
      <c r="CE122" s="129">
        <f>IF(SUM(CE$91:CE121)=0,CF122,0)</f>
        <v>0</v>
      </c>
      <c r="CF122" s="129">
        <f>IF(H$5&lt;64,0,IF(ISBLANK(L60)=TRUE,64,IF(L60=" ",0,IF(L60="H",0,64))))</f>
        <v>0</v>
      </c>
      <c r="CG122" s="128" t="s">
        <v>349</v>
      </c>
      <c r="CH122" s="129">
        <f>IF(SUM(CH$91:CH121)=0,CI122,0)</f>
        <v>0</v>
      </c>
      <c r="CI122" s="132">
        <f>IF($H$5&lt;64,0,IF(ISBLANK($M60)=TRUE,64,IF($M60=" ",0,IF(AND($H$8&lt;&gt;"3D",$M60="N"),0,64))))</f>
        <v>0</v>
      </c>
      <c r="CJ122" s="128" t="str">
        <f>IF($H$8&lt;&gt;"3D","ENTER CIRCUIT #64 NEUTRAL IDENTIFIER  ( N or SPACE )","ENTER CIRCUIT #64 NEUTRAL IDENTIFIER  ( SPACE )")</f>
        <v>ENTER CIRCUIT #64 NEUTRAL IDENTIFIER  ( N or SPACE )</v>
      </c>
      <c r="CK122" s="128"/>
      <c r="CL122" s="128"/>
      <c r="CM122" s="128"/>
      <c r="CN122" s="128"/>
      <c r="CO122" s="128"/>
      <c r="CP122" s="128"/>
      <c r="CQ122" s="1"/>
      <c r="DV122" s="22"/>
      <c r="DW122" s="22"/>
      <c r="DX122" s="22"/>
      <c r="DY122" s="22"/>
      <c r="DZ122" s="22"/>
      <c r="EA122" s="22"/>
      <c r="EF122" s="22">
        <v>12</v>
      </c>
      <c r="EG122" s="22" t="s">
        <v>101</v>
      </c>
      <c r="FW122" s="360"/>
      <c r="FX122" s="22"/>
      <c r="FY122" s="22"/>
      <c r="FZ122" s="22"/>
      <c r="GA122" s="22"/>
      <c r="GB122" s="22"/>
      <c r="GG122" s="22">
        <v>12</v>
      </c>
      <c r="GH122" s="22" t="s">
        <v>101</v>
      </c>
    </row>
    <row r="123" spans="78:202" ht="14.1" hidden="1" customHeight="1">
      <c r="BZ123" s="136"/>
      <c r="CA123" s="128">
        <f t="shared" si="60"/>
        <v>66</v>
      </c>
      <c r="CB123" s="129">
        <f>IF(SUM(CB$91:CB122)=0,CC123,0)</f>
        <v>0</v>
      </c>
      <c r="CC123" s="129">
        <f>IF(H$5&lt;66,0,IF(K61="G",0,IF(K61="C",0,IF(K61="M",0,IF(K61="K",0,IF(AND(OR($H$11="FULL",$H$11="AUTO"),K61="D"),0,66))))))</f>
        <v>0</v>
      </c>
      <c r="CD123" s="128" t="str">
        <f>IF($H$11="NONE","ENTER CIRCUIT #66 LOAD IDENTIFIER  ( G, C, M, K )","ENTER CIRCUIT #66 LOAD IDENTIFIER  ( G, D, C, M, K )")</f>
        <v>ENTER CIRCUIT #66 LOAD IDENTIFIER  ( G, D, C, M, K )</v>
      </c>
      <c r="CE123" s="129">
        <f>IF(SUM(CE$91:CE122)=0,CF123,0)</f>
        <v>0</v>
      </c>
      <c r="CF123" s="129">
        <f>IF(H$5&lt;66,0,IF(ISBLANK(L61)=TRUE,66,IF(L61=" ",0,IF(L61="H",0,66))))</f>
        <v>0</v>
      </c>
      <c r="CG123" s="128" t="s">
        <v>350</v>
      </c>
      <c r="CH123" s="129">
        <f>IF(SUM(CH$91:CH122)=0,CI123,0)</f>
        <v>0</v>
      </c>
      <c r="CI123" s="132">
        <f>IF($H$5&lt;66,0,IF(ISBLANK($M61)=TRUE,66,IF($M61="N",0,IF($M61=" ",0,66))))</f>
        <v>0</v>
      </c>
      <c r="CJ123" s="128" t="s">
        <v>436</v>
      </c>
      <c r="CK123" s="128"/>
      <c r="CL123" s="128"/>
      <c r="CM123" s="128"/>
      <c r="CN123" s="128"/>
      <c r="CO123" s="128"/>
      <c r="CP123" s="128"/>
      <c r="CQ123" s="1"/>
      <c r="DV123" s="22"/>
      <c r="DW123" s="22"/>
      <c r="DX123" s="22"/>
      <c r="DY123" s="22"/>
      <c r="DZ123" s="22"/>
      <c r="EA123" s="22"/>
      <c r="EF123" s="22">
        <v>13</v>
      </c>
      <c r="EG123" s="22" t="s">
        <v>103</v>
      </c>
      <c r="FW123" s="360"/>
      <c r="FX123" s="22"/>
      <c r="FY123" s="22"/>
      <c r="FZ123" s="22"/>
      <c r="GA123" s="22"/>
      <c r="GB123" s="22"/>
      <c r="GG123" s="22">
        <v>13</v>
      </c>
      <c r="GH123" s="22" t="s">
        <v>103</v>
      </c>
    </row>
    <row r="124" spans="78:202" ht="14.1" hidden="1" customHeight="1">
      <c r="BZ124" s="136"/>
      <c r="CA124" s="128">
        <f t="shared" si="60"/>
        <v>68</v>
      </c>
      <c r="CB124" s="129">
        <f>IF(SUM(CB$91:CB123)=0,CC124,0)</f>
        <v>0</v>
      </c>
      <c r="CC124" s="129">
        <f>IF(H$5&lt;68,0,IF(K62="G",0,IF(K62="C",0,IF(K62="M",0,IF(K62="K",0,IF(AND(OR($H$11="FULL",$H$11="AUTO"),K62="D"),0,68))))))</f>
        <v>0</v>
      </c>
      <c r="CD124" s="128" t="str">
        <f>IF($H$11="NONE","ENTER CIRCUIT #68 LOAD IDENTIFIER  ( G, C, M, K )","ENTER CIRCUIT #68 LOAD IDENTIFIER  ( G, D, C, M, K )")</f>
        <v>ENTER CIRCUIT #68 LOAD IDENTIFIER  ( G, D, C, M, K )</v>
      </c>
      <c r="CE124" s="129">
        <f>IF(SUM(CE$91:CE123)=0,CF124,0)</f>
        <v>0</v>
      </c>
      <c r="CF124" s="129">
        <f>IF(H$5&lt;68,0,IF(ISBLANK(L62)=TRUE,68,IF(L62=" ",0,IF(L62="H",0,68))))</f>
        <v>0</v>
      </c>
      <c r="CG124" s="128" t="s">
        <v>351</v>
      </c>
      <c r="CH124" s="129">
        <f>IF(SUM(CH$91:CH123)=0,CI124,0)</f>
        <v>0</v>
      </c>
      <c r="CI124" s="132">
        <f>IF($H$5&lt;68,0,IF(ISBLANK($M62)=TRUE,68,IF($M62="N",0,IF($M62=" ",0,68))))</f>
        <v>0</v>
      </c>
      <c r="CJ124" s="128" t="s">
        <v>437</v>
      </c>
      <c r="CK124" s="128"/>
      <c r="CL124" s="128"/>
      <c r="CM124" s="128"/>
      <c r="CN124" s="128"/>
      <c r="CO124" s="128"/>
      <c r="CP124" s="128"/>
      <c r="CQ124" s="1"/>
      <c r="DV124" s="22"/>
      <c r="DW124" s="22"/>
      <c r="DX124" s="22"/>
      <c r="DY124" s="22"/>
      <c r="DZ124" s="22"/>
      <c r="EA124" s="22"/>
      <c r="EF124" s="22">
        <v>14</v>
      </c>
      <c r="EG124" s="22" t="s">
        <v>106</v>
      </c>
      <c r="FW124" s="360"/>
      <c r="FX124" s="22"/>
      <c r="FY124" s="22"/>
      <c r="FZ124" s="22"/>
      <c r="GA124" s="22"/>
      <c r="GB124" s="22"/>
      <c r="GG124" s="22">
        <v>14</v>
      </c>
      <c r="GH124" s="22" t="s">
        <v>106</v>
      </c>
    </row>
    <row r="125" spans="78:202" ht="14.1" hidden="1" customHeight="1">
      <c r="BZ125" s="136"/>
      <c r="CA125" s="128">
        <f t="shared" si="60"/>
        <v>70</v>
      </c>
      <c r="CB125" s="129">
        <f>IF(SUM(CB$91:CB124)=0,CC125,0)</f>
        <v>0</v>
      </c>
      <c r="CC125" s="129">
        <f>IF(H$5&lt;70,0,IF(K63="G",0,IF(K63="C",0,IF(K63="M",0,IF(K63="K",0,IF(AND(OR($H$11="FULL",$H$11="AUTO"),OR($H$8=1,$H$8="3Y"),K63="D"),0,70))))))</f>
        <v>0</v>
      </c>
      <c r="CD125" s="128" t="str">
        <f>IF($H$11="NONE","ENTER CIRCUIT #70 LOAD IDENTIFIER  ( G, C, M, K )",IF($H$8="3D","ENTER CIRCUIT #70 LOAD IDENTIFIER  ( G, C, M, K )","ENTER CIRCUIT #70 LOAD IDENTIFIER  ( G, D, C, M, K )"))</f>
        <v>ENTER CIRCUIT #70 LOAD IDENTIFIER  ( G, D, C, M, K )</v>
      </c>
      <c r="CE125" s="129">
        <f>IF(SUM(CE$91:CE124)=0,CF125,0)</f>
        <v>0</v>
      </c>
      <c r="CF125" s="129">
        <f>IF(H$5&lt;70,0,IF(ISBLANK(L63)=TRUE,70,IF(L63=" ",0,IF(L63="H",0,70))))</f>
        <v>0</v>
      </c>
      <c r="CG125" s="128" t="s">
        <v>352</v>
      </c>
      <c r="CH125" s="129">
        <f>IF(SUM(CH$91:CH124)=0,CI125,0)</f>
        <v>0</v>
      </c>
      <c r="CI125" s="132">
        <f>IF($H$5&lt;70,0,IF(ISBLANK($M63)=TRUE,70,IF($M63=" ",0,IF(AND($H$8&lt;&gt;"3D",$M63="N"),0,70))))</f>
        <v>0</v>
      </c>
      <c r="CJ125" s="128" t="str">
        <f>IF($H$8&lt;&gt;"3D","ENTER CIRCUIT #70 NEUTRAL IDENTIFIER  ( N or SPACE )","ENTER CIRCUIT #70 NEUTRAL IDENTIFIER  ( SPACE )")</f>
        <v>ENTER CIRCUIT #70 NEUTRAL IDENTIFIER  ( N or SPACE )</v>
      </c>
      <c r="CK125" s="128"/>
      <c r="CL125" s="128"/>
      <c r="CM125" s="128"/>
      <c r="CN125" s="128"/>
      <c r="CO125" s="128"/>
      <c r="CP125" s="128"/>
      <c r="CQ125" s="1"/>
      <c r="DV125" s="22"/>
      <c r="DW125" s="22"/>
      <c r="DX125" s="22"/>
      <c r="DY125" s="22"/>
      <c r="DZ125" s="22"/>
      <c r="EA125" s="22"/>
      <c r="EF125" s="22">
        <v>15</v>
      </c>
      <c r="EG125" s="22" t="s">
        <v>109</v>
      </c>
      <c r="FW125" s="360"/>
      <c r="FX125" s="22"/>
      <c r="FY125" s="22"/>
      <c r="FZ125" s="22"/>
      <c r="GA125" s="22"/>
      <c r="GB125" s="22"/>
      <c r="GG125" s="22">
        <v>15</v>
      </c>
      <c r="GH125" s="22" t="s">
        <v>109</v>
      </c>
    </row>
    <row r="126" spans="78:202" ht="14.1" hidden="1" customHeight="1">
      <c r="BZ126" s="136"/>
      <c r="CA126" s="128">
        <f t="shared" si="60"/>
        <v>72</v>
      </c>
      <c r="CB126" s="129">
        <f>IF(SUM(CB$91:CB125)=0,CC126,0)</f>
        <v>0</v>
      </c>
      <c r="CC126" s="129">
        <f>IF(H$5&lt;72,0,IF(K64="G",0,IF(K64="C",0,IF(K64="M",0,IF(K64="K",0,IF(AND(OR($H$11="FULL",$H$11="AUTO"),K64="D"),0,72))))))</f>
        <v>0</v>
      </c>
      <c r="CD126" s="128" t="str">
        <f>IF($H$11="NONE","ENTER CIRCUIT #72 LOAD IDENTIFIER  ( G, C, M, K )","ENTER CIRCUIT #72 LOAD IDENTIFIER  ( G, D, C, M, K )")</f>
        <v>ENTER CIRCUIT #72 LOAD IDENTIFIER  ( G, D, C, M, K )</v>
      </c>
      <c r="CE126" s="129">
        <f>IF(SUM(CE$91:CE125)=0,CF126,0)</f>
        <v>0</v>
      </c>
      <c r="CF126" s="129">
        <f>IF(H$5&lt;72,0,IF(ISBLANK(L64)=TRUE,72,IF(L64=" ",0,IF(L64="H",0,72))))</f>
        <v>0</v>
      </c>
      <c r="CG126" s="128" t="s">
        <v>353</v>
      </c>
      <c r="CH126" s="129">
        <f>IF(SUM(CH$91:CH125)=0,CI126,0)</f>
        <v>0</v>
      </c>
      <c r="CI126" s="132">
        <f>IF($H$5&lt;72,0,IF(ISBLANK($M64)=TRUE,72,IF($M64="N",0,IF($M64=" ",0,72))))</f>
        <v>0</v>
      </c>
      <c r="CJ126" s="128" t="s">
        <v>438</v>
      </c>
      <c r="CK126" s="128"/>
      <c r="CL126" s="128"/>
      <c r="CM126" s="128"/>
      <c r="CN126" s="128"/>
      <c r="CO126" s="128"/>
      <c r="CP126" s="128"/>
      <c r="CQ126" s="1"/>
      <c r="DV126" s="22"/>
      <c r="DW126" s="22"/>
      <c r="DX126" s="22"/>
      <c r="DY126" s="22"/>
      <c r="DZ126" s="22"/>
      <c r="EA126" s="22"/>
      <c r="EF126" s="22">
        <v>16</v>
      </c>
      <c r="EG126" s="22" t="s">
        <v>112</v>
      </c>
      <c r="FW126" s="360"/>
      <c r="FX126" s="22"/>
      <c r="FY126" s="22"/>
      <c r="FZ126" s="22"/>
      <c r="GA126" s="22"/>
      <c r="GB126" s="22"/>
      <c r="GG126" s="22">
        <v>16</v>
      </c>
      <c r="GH126" s="22" t="s">
        <v>112</v>
      </c>
    </row>
    <row r="127" spans="78:202" ht="14.1" hidden="1" customHeight="1">
      <c r="BZ127" s="136"/>
      <c r="CA127" s="128">
        <f t="shared" si="60"/>
        <v>74</v>
      </c>
      <c r="CB127" s="129">
        <f>IF(SUM(CB$91:CB126)=0,CC127,0)</f>
        <v>0</v>
      </c>
      <c r="CC127" s="129">
        <f>IF(H$5&lt;74,0,IF(K65="G",0,IF(K65="C",0,IF(K65="M",0,IF(K65="K",0,IF(AND(OR($H$11="FULL",$H$11="AUTO"),K65="D"),0,74))))))</f>
        <v>0</v>
      </c>
      <c r="CD127" s="128" t="str">
        <f>IF($H$11="NONE","ENTER CIRCUIT #74 LOAD IDENTIFIER  ( G, C, M, K )","ENTER CIRCUIT #74 LOAD IDENTIFIER  ( G, D, C, M, K )")</f>
        <v>ENTER CIRCUIT #74 LOAD IDENTIFIER  ( G, D, C, M, K )</v>
      </c>
      <c r="CE127" s="129">
        <f>IF(SUM(CE$91:CE126)=0,CF127,0)</f>
        <v>0</v>
      </c>
      <c r="CF127" s="129">
        <f>IF(H$5&lt;74,0,IF(ISBLANK(L65)=TRUE,74,IF(L65=" ",0,IF(L65="H",0,74))))</f>
        <v>0</v>
      </c>
      <c r="CG127" s="128" t="s">
        <v>354</v>
      </c>
      <c r="CH127" s="129">
        <f>IF(SUM(CH$91:CH126)=0,CI127,0)</f>
        <v>0</v>
      </c>
      <c r="CI127" s="132">
        <f>IF($H$5&lt;74,0,IF(ISBLANK($M65)=TRUE,74,IF($M65="N",0,IF($M65=" ",0,74))))</f>
        <v>0</v>
      </c>
      <c r="CJ127" s="128" t="s">
        <v>439</v>
      </c>
      <c r="CK127" s="128"/>
      <c r="CL127" s="128"/>
      <c r="CM127" s="128"/>
      <c r="CN127" s="128"/>
      <c r="CO127" s="128"/>
      <c r="CP127" s="128"/>
      <c r="CQ127" s="1"/>
      <c r="DV127" s="22"/>
      <c r="DW127" s="22"/>
      <c r="DX127" s="22"/>
      <c r="DY127" s="22"/>
      <c r="DZ127" s="22"/>
      <c r="EA127" s="22"/>
      <c r="EF127" s="22">
        <v>17</v>
      </c>
      <c r="EG127" s="22" t="s">
        <v>114</v>
      </c>
      <c r="FW127" s="360"/>
      <c r="FX127" s="22"/>
      <c r="FY127" s="22"/>
      <c r="FZ127" s="22"/>
      <c r="GA127" s="22"/>
      <c r="GB127" s="22"/>
      <c r="GG127" s="22">
        <v>17</v>
      </c>
      <c r="GH127" s="22" t="s">
        <v>114</v>
      </c>
    </row>
    <row r="128" spans="78:202" ht="14.1" hidden="1" customHeight="1">
      <c r="BZ128" s="136"/>
      <c r="CA128" s="128">
        <f t="shared" si="60"/>
        <v>76</v>
      </c>
      <c r="CB128" s="129">
        <f>IF(SUM(CB$91:CB127)=0,CC128,0)</f>
        <v>0</v>
      </c>
      <c r="CC128" s="129">
        <f>IF(H$5&lt;76,0,IF(K66="G",0,IF(K66="C",0,IF(K66="M",0,IF(K66="K",0,IF(AND(OR($H$11="FULL",$H$11="AUTO"),OR($H$8=1,$H$8="3Y"),K66="D"),0,76))))))</f>
        <v>0</v>
      </c>
      <c r="CD128" s="128" t="str">
        <f>IF($H$11="NONE","ENTER CIRCUIT #76 LOAD IDENTIFIER  ( G, C, M, K )",IF($H$8="3D","ENTER CIRCUIT #76 LOAD IDENTIFIER  ( G, C, M, K )","ENTER CIRCUIT #76 LOAD IDENTIFIER  ( G, D, C, M, K )"))</f>
        <v>ENTER CIRCUIT #76 LOAD IDENTIFIER  ( G, D, C, M, K )</v>
      </c>
      <c r="CE128" s="129">
        <f>IF(SUM(CE$91:CE127)=0,CF128,0)</f>
        <v>0</v>
      </c>
      <c r="CF128" s="129">
        <f>IF(H$5&lt;76,0,IF(ISBLANK(L66)=TRUE,76,IF(L66=" ",0,IF(L66="H",0,76))))</f>
        <v>0</v>
      </c>
      <c r="CG128" s="128" t="s">
        <v>355</v>
      </c>
      <c r="CH128" s="129">
        <f>IF(SUM(CH$91:CH127)=0,CI128,0)</f>
        <v>0</v>
      </c>
      <c r="CI128" s="132">
        <f>IF($H$5&lt;76,0,IF(ISBLANK($M66)=TRUE,76,IF($M66=" ",0,IF(AND($H$8&lt;&gt;"3D",$M66="N"),0,76))))</f>
        <v>0</v>
      </c>
      <c r="CJ128" s="128" t="str">
        <f>IF($H$8&lt;&gt;"3D","ENTER CIRCUIT #76 NEUTRAL IDENTIFIER  ( N or SPACE )","ENTER CIRCUIT #76 NEUTRAL IDENTIFIER  ( SPACE )")</f>
        <v>ENTER CIRCUIT #76 NEUTRAL IDENTIFIER  ( N or SPACE )</v>
      </c>
      <c r="CK128" s="128"/>
      <c r="CL128" s="128"/>
      <c r="CM128" s="128"/>
      <c r="CN128" s="128"/>
      <c r="CO128" s="128"/>
      <c r="CP128" s="128"/>
      <c r="CQ128" s="1"/>
      <c r="EF128" s="22">
        <v>18</v>
      </c>
      <c r="EG128" s="22" t="s">
        <v>116</v>
      </c>
      <c r="GG128" s="22">
        <v>18</v>
      </c>
      <c r="GH128" s="22" t="s">
        <v>116</v>
      </c>
    </row>
    <row r="129" spans="78:95" ht="14.1" hidden="1" customHeight="1">
      <c r="BZ129" s="136"/>
      <c r="CA129" s="128">
        <f t="shared" si="60"/>
        <v>78</v>
      </c>
      <c r="CB129" s="129">
        <f>IF(SUM(CB$91:CB128)=0,CC129,0)</f>
        <v>0</v>
      </c>
      <c r="CC129" s="129">
        <f>IF(H$5&lt;78,0,IF(K67="G",0,IF(K67="C",0,IF(K67="M",0,IF(K67="K",0,IF(AND(OR($H$11="FULL",$H$11="AUTO"),K67="D"),0,78))))))</f>
        <v>0</v>
      </c>
      <c r="CD129" s="128" t="str">
        <f>IF($H$11="NONE","ENTER CIRCUIT #78 LOAD IDENTIFIER  ( G, C, M, K )","ENTER CIRCUIT #78 LOAD IDENTIFIER  ( G, D, C, M, K )")</f>
        <v>ENTER CIRCUIT #78 LOAD IDENTIFIER  ( G, D, C, M, K )</v>
      </c>
      <c r="CE129" s="129">
        <f>IF(SUM(CE$91:CE128)=0,CF129,0)</f>
        <v>0</v>
      </c>
      <c r="CF129" s="129">
        <f>IF(H$5&lt;78,0,IF(ISBLANK(L67)=TRUE,78,IF(L67=" ",0,IF(L67="H",0,78))))</f>
        <v>0</v>
      </c>
      <c r="CG129" s="128" t="s">
        <v>356</v>
      </c>
      <c r="CH129" s="129">
        <f>IF(SUM(CH$91:CH128)=0,CI129,0)</f>
        <v>0</v>
      </c>
      <c r="CI129" s="132">
        <f>IF($H$5&lt;78,0,IF(ISBLANK($M67)=TRUE,78,IF($M67="N",0,IF($M67=" ",0,78))))</f>
        <v>0</v>
      </c>
      <c r="CJ129" s="128" t="s">
        <v>440</v>
      </c>
      <c r="CK129" s="128"/>
      <c r="CL129" s="128"/>
      <c r="CM129" s="128"/>
      <c r="CN129" s="128"/>
      <c r="CO129" s="128"/>
      <c r="CP129" s="128"/>
      <c r="CQ129" s="1"/>
    </row>
    <row r="130" spans="78:95" ht="14.1" hidden="1" customHeight="1">
      <c r="BZ130" s="136"/>
      <c r="CA130" s="128">
        <f t="shared" si="60"/>
        <v>80</v>
      </c>
      <c r="CB130" s="129">
        <f>IF(SUM(CB$91:CB129)=0,CC130,0)</f>
        <v>0</v>
      </c>
      <c r="CC130" s="129">
        <f>IF(H$5&lt;80,0,IF(K68="G",0,IF(K68="C",0,IF(K68="M",0,IF(K68="K",0,IF(AND(OR($H$11="FULL",$H$11="AUTO"),K68="D"),0,80))))))</f>
        <v>0</v>
      </c>
      <c r="CD130" s="128" t="str">
        <f>IF($H$11="NONE","ENTER CIRCUIT #80 LOAD IDENTIFIER  ( G, C, M, K )","ENTER CIRCUIT #80 LOAD IDENTIFIER  ( G, D, C, M, K )")</f>
        <v>ENTER CIRCUIT #80 LOAD IDENTIFIER  ( G, D, C, M, K )</v>
      </c>
      <c r="CE130" s="129">
        <f>IF(SUM(CE$91:CE129)=0,CF130,0)</f>
        <v>0</v>
      </c>
      <c r="CF130" s="129">
        <f>IF(H$5&lt;80,0,IF(ISBLANK(L68)=TRUE,80,IF(L68=" ",0,IF(L68="H",0,80))))</f>
        <v>0</v>
      </c>
      <c r="CG130" s="128" t="s">
        <v>357</v>
      </c>
      <c r="CH130" s="129">
        <f>IF(SUM(CH$91:CH129)=0,CI130,0)</f>
        <v>0</v>
      </c>
      <c r="CI130" s="132">
        <f>IF($H$5&lt;80,0,IF(ISBLANK($M68)=TRUE,80,IF($M68="N",0,IF($M68=" ",0,80))))</f>
        <v>0</v>
      </c>
      <c r="CJ130" s="128" t="s">
        <v>441</v>
      </c>
      <c r="CK130" s="128"/>
      <c r="CL130" s="128"/>
      <c r="CM130" s="128"/>
      <c r="CN130" s="128"/>
      <c r="CO130" s="128"/>
      <c r="CP130" s="128"/>
      <c r="CQ130" s="1"/>
    </row>
    <row r="131" spans="78:95" ht="14.1" hidden="1" customHeight="1">
      <c r="BZ131" s="136"/>
      <c r="CA131" s="128">
        <f t="shared" si="60"/>
        <v>82</v>
      </c>
      <c r="CB131" s="129">
        <f>IF(SUM(CB$91:CB130)=0,CC131,0)</f>
        <v>0</v>
      </c>
      <c r="CC131" s="129">
        <f>IF(H$5&lt;82,0,IF(K69="G",0,IF(K69="C",0,IF(K69="M",0,IF(K69="K",0,IF(AND(OR($H$11="FULL",$H$11="AUTO"),OR($H$8=1,$H$8="3Y"),K69="D"),0,82))))))</f>
        <v>0</v>
      </c>
      <c r="CD131" s="128" t="str">
        <f>IF($H$11="NONE","ENTER CIRCUIT #82 LOAD IDENTIFIER  ( G, C, M, K )",IF($H$8="3D","ENTER CIRCUIT #82 LOAD IDENTIFIER  ( G, C, M, K )","ENTER CIRCUIT #82 LOAD IDENTIFIER  ( G, D, C, M, K )"))</f>
        <v>ENTER CIRCUIT #82 LOAD IDENTIFIER  ( G, D, C, M, K )</v>
      </c>
      <c r="CE131" s="129">
        <f>IF(SUM(CE$91:CE130)=0,CF131,0)</f>
        <v>0</v>
      </c>
      <c r="CF131" s="129">
        <f>IF(H$5&lt;82,0,IF(ISBLANK(L69)=TRUE,82,IF(L69=" ",0,IF(L69="H",0,82))))</f>
        <v>0</v>
      </c>
      <c r="CG131" s="128" t="s">
        <v>358</v>
      </c>
      <c r="CH131" s="129">
        <f>IF(SUM(CH$91:CH130)=0,CI131,0)</f>
        <v>0</v>
      </c>
      <c r="CI131" s="132">
        <f>IF($H$5&lt;82,0,IF(ISBLANK($M69)=TRUE,82,IF($M69=" ",0,IF(AND($H$8&lt;&gt;"3D",$M69="N"),0,82))))</f>
        <v>0</v>
      </c>
      <c r="CJ131" s="128" t="str">
        <f>IF($H$8&lt;&gt;"3D","ENTER CIRCUIT #82 NEUTRAL IDENTIFIER  ( N or SPACE )","ENTER CIRCUIT #82 NEUTRAL IDENTIFIER  ( SPACE )")</f>
        <v>ENTER CIRCUIT #82 NEUTRAL IDENTIFIER  ( N or SPACE )</v>
      </c>
      <c r="CK131" s="128"/>
      <c r="CL131" s="128"/>
      <c r="CM131" s="128"/>
      <c r="CN131" s="128"/>
      <c r="CO131" s="128"/>
      <c r="CP131" s="128"/>
      <c r="CQ131" s="1"/>
    </row>
    <row r="132" spans="78:95" ht="14.1" hidden="1" customHeight="1">
      <c r="BZ132" s="136"/>
      <c r="CA132" s="128">
        <f t="shared" si="60"/>
        <v>84</v>
      </c>
      <c r="CB132" s="129">
        <f>IF(SUM(CB$91:CB131)=0,CC132,0)</f>
        <v>0</v>
      </c>
      <c r="CC132" s="129">
        <f>IF(H$5&lt;84,0,IF(K70="G",0,IF(K70="C",0,IF(K70="M",0,IF(K70="K",0,IF(AND(OR($H$11="FULL",$H$11="AUTO"),K70="D"),0,84))))))</f>
        <v>0</v>
      </c>
      <c r="CD132" s="128" t="str">
        <f>IF($H$11="NONE","ENTER CIRCUIT #84 LOAD IDENTIFIER  ( G, C, M, K )","ENTER CIRCUIT #84 LOAD IDENTIFIER  ( G, D, C, M, K )")</f>
        <v>ENTER CIRCUIT #84 LOAD IDENTIFIER  ( G, D, C, M, K )</v>
      </c>
      <c r="CE132" s="129">
        <f>IF(SUM(CE$91:CE131)=0,CF132,0)</f>
        <v>0</v>
      </c>
      <c r="CF132" s="129">
        <f>IF(H$5&lt;84,0,IF(ISBLANK(L70)=TRUE,84,IF(L70=" ",0,IF(L70="H",0,84))))</f>
        <v>0</v>
      </c>
      <c r="CG132" s="128" t="s">
        <v>359</v>
      </c>
      <c r="CH132" s="129">
        <f>IF(SUM(CH$91:CH131)=0,CI132,0)</f>
        <v>0</v>
      </c>
      <c r="CI132" s="132">
        <f>IF($H$5&lt;84,0,IF(ISBLANK($M70)=TRUE,84,IF($M70="N",0,IF($M70=" ",0,84))))</f>
        <v>0</v>
      </c>
      <c r="CJ132" s="128" t="s">
        <v>442</v>
      </c>
      <c r="CK132" s="128"/>
      <c r="CL132" s="128"/>
      <c r="CM132" s="128"/>
      <c r="CN132" s="128"/>
      <c r="CO132" s="128"/>
      <c r="CP132" s="128"/>
      <c r="CQ132" s="1"/>
    </row>
    <row r="133" spans="78:95" ht="14.1" hidden="1" customHeight="1">
      <c r="BZ133" s="136">
        <f>IF(S4="NONE",0,(CB133+CE133+CH133))</f>
        <v>0</v>
      </c>
      <c r="CA133" s="138" t="str">
        <f>IF(CB133=0," ",VLOOKUP(CB133,CA91:CD132,4))</f>
        <v xml:space="preserve"> </v>
      </c>
      <c r="CB133" s="139">
        <f>IF(CC11&gt;0,0,IF(CC31&gt;0,0,IF(CC30&gt;0,0,SUM(CB91:CB132))))</f>
        <v>0</v>
      </c>
      <c r="CC133" s="136"/>
      <c r="CD133" s="136"/>
      <c r="CE133" s="228">
        <f>IF($H$8=1,0,IF($H$8="3D",0,SUM(CE91:CE132)))</f>
        <v>0</v>
      </c>
      <c r="CF133" s="136"/>
      <c r="CG133" s="136"/>
      <c r="CH133" s="228">
        <f>IF($H$11&lt;&gt;"AUTO",0,SUM(CH91:CH132))</f>
        <v>0</v>
      </c>
      <c r="CI133" s="136"/>
      <c r="CJ133" s="138" t="str">
        <f>IF(CH133=0," ",VLOOKUP(CH133,CA91:CJ132,10))</f>
        <v xml:space="preserve"> </v>
      </c>
      <c r="CK133" s="138"/>
      <c r="CL133" s="138"/>
      <c r="CM133" s="138"/>
      <c r="CN133" s="138"/>
      <c r="CO133" s="138"/>
      <c r="CP133" s="136"/>
      <c r="CQ133" s="1"/>
    </row>
    <row r="134" spans="78:95" ht="14.1" hidden="1" customHeight="1">
      <c r="BZ134" s="136"/>
      <c r="CA134" s="138" t="str">
        <f>IF(CE133=0," ",VLOOKUP(CE133,CA91:CG132,7))</f>
        <v xml:space="preserve"> </v>
      </c>
      <c r="CB134" s="138" t="str">
        <f>IF(CB133&gt;0,CA133,IF(CE133&gt;0,CA134,IF(CH133&gt;0,CJ133,"")))</f>
        <v/>
      </c>
      <c r="CC134" s="136"/>
      <c r="CD134" s="136"/>
      <c r="CE134" s="133"/>
      <c r="CF134" s="136"/>
      <c r="CG134" s="136"/>
      <c r="CH134" s="136"/>
      <c r="CI134" s="136"/>
      <c r="CJ134" s="136"/>
      <c r="CK134" s="136"/>
      <c r="CL134" s="136"/>
      <c r="CM134" s="136"/>
      <c r="CN134" s="136"/>
      <c r="CO134" s="136"/>
      <c r="CP134" s="136"/>
      <c r="CQ134" s="1"/>
    </row>
    <row r="135" spans="78:95" ht="14.1" hidden="1" customHeight="1">
      <c r="BZ135" s="136"/>
      <c r="CA135" s="138"/>
      <c r="CB135" s="138"/>
      <c r="CC135" s="136" t="s">
        <v>580</v>
      </c>
      <c r="CD135" s="136"/>
      <c r="CE135" s="136"/>
      <c r="CF135" s="136"/>
      <c r="CG135" s="136"/>
      <c r="CH135" s="136"/>
      <c r="CI135" s="136"/>
      <c r="CJ135" s="136"/>
      <c r="CK135" s="136"/>
      <c r="CL135" s="136"/>
      <c r="CM135" s="136"/>
      <c r="CN135" s="136"/>
      <c r="CO135" s="136"/>
      <c r="CP135" s="136"/>
      <c r="CQ135" s="1"/>
    </row>
    <row r="136" spans="78:95" ht="14.1" hidden="1" customHeight="1">
      <c r="BZ136" s="136"/>
      <c r="CA136" s="138"/>
      <c r="CB136" s="136" t="s">
        <v>191</v>
      </c>
      <c r="CC136" s="136" t="s">
        <v>191</v>
      </c>
      <c r="CD136" s="136"/>
      <c r="CE136" s="136"/>
      <c r="CF136" s="136"/>
      <c r="CG136" s="136"/>
      <c r="CH136" s="136"/>
      <c r="CI136" s="136"/>
      <c r="CJ136" s="136"/>
      <c r="CK136" s="136"/>
      <c r="CL136" s="136"/>
      <c r="CM136" s="136"/>
      <c r="CN136" s="136"/>
      <c r="CO136" s="136"/>
      <c r="CP136" s="136"/>
      <c r="CQ136" s="1"/>
    </row>
    <row r="137" spans="78:95" ht="14.1" hidden="1" customHeight="1">
      <c r="BZ137" s="136"/>
      <c r="CA137" s="138"/>
      <c r="CB137" s="136" t="s">
        <v>3</v>
      </c>
      <c r="CC137" s="136" t="s">
        <v>3</v>
      </c>
      <c r="CD137" s="136"/>
      <c r="CE137" s="136"/>
      <c r="CF137" s="136"/>
      <c r="CG137" s="136"/>
      <c r="CH137" s="136"/>
      <c r="CI137" s="136"/>
      <c r="CJ137" s="136"/>
      <c r="CK137" s="136"/>
      <c r="CL137" s="136"/>
      <c r="CM137" s="136"/>
      <c r="CN137" s="136"/>
      <c r="CO137" s="136"/>
      <c r="CP137" s="136"/>
      <c r="CQ137" s="1"/>
    </row>
    <row r="138" spans="78:95" ht="14.1" hidden="1" customHeight="1">
      <c r="BZ138" s="136"/>
      <c r="CA138" s="138"/>
      <c r="CB138" s="136" t="s">
        <v>192</v>
      </c>
      <c r="CC138" s="136" t="s">
        <v>192</v>
      </c>
      <c r="CD138" s="136"/>
      <c r="CE138" s="136"/>
      <c r="CF138" s="136"/>
      <c r="CG138" s="136"/>
      <c r="CH138" s="136"/>
      <c r="CI138" s="136"/>
      <c r="CJ138" s="136"/>
      <c r="CK138" s="136"/>
      <c r="CL138" s="136"/>
      <c r="CM138" s="136"/>
      <c r="CN138" s="136"/>
      <c r="CO138" s="136"/>
      <c r="CP138" s="136"/>
      <c r="CQ138" s="1"/>
    </row>
    <row r="139" spans="78:95" ht="14.1" hidden="1" customHeight="1">
      <c r="BZ139" s="136"/>
      <c r="CA139" s="138" t="s">
        <v>13</v>
      </c>
      <c r="CB139" s="136" t="str">
        <f>H15</f>
        <v>AL</v>
      </c>
      <c r="CC139" s="129">
        <f>J15</f>
        <v>0</v>
      </c>
      <c r="CQ139" s="1"/>
    </row>
    <row r="140" spans="78:95" ht="14.1" hidden="1" customHeight="1">
      <c r="BZ140" s="136"/>
      <c r="CA140" s="128" t="s">
        <v>398</v>
      </c>
      <c r="CB140" s="129">
        <f>IF(CB139="AL",0,IF(H14="THW-CA",1,0))</f>
        <v>0</v>
      </c>
      <c r="CC140" s="129">
        <f>IF(CC139="AL",0,IF(J14="THW-CA",1,0))</f>
        <v>0</v>
      </c>
      <c r="CQ140" s="1"/>
    </row>
    <row r="141" spans="78:95" ht="14.1" hidden="1" customHeight="1">
      <c r="BZ141" s="136"/>
      <c r="CA141" s="128" t="s">
        <v>164</v>
      </c>
      <c r="CB141" s="129">
        <f>IF(CB139="AL",0,IF(H14="THHN-CA",1,0))</f>
        <v>0</v>
      </c>
      <c r="CC141" s="129">
        <f>IF(CC139="AL",0,IF(J14="THHN-CA",1,0))</f>
        <v>0</v>
      </c>
      <c r="CQ141" s="1"/>
    </row>
    <row r="142" spans="78:95" ht="14.1" hidden="1" customHeight="1">
      <c r="BZ142" s="136"/>
      <c r="CA142" s="128" t="s">
        <v>165</v>
      </c>
      <c r="CB142" s="129">
        <f>IF(CB139="AL",0,IF(H14="XHHW-CA",1,0))</f>
        <v>0</v>
      </c>
      <c r="CC142" s="129">
        <f>IF(CC139="AL",0,IF(J14="XHHW-CA",1,0))</f>
        <v>0</v>
      </c>
      <c r="CQ142" s="1"/>
    </row>
    <row r="143" spans="78:95" ht="14.1" hidden="1" customHeight="1">
      <c r="BZ143" s="136"/>
      <c r="CB143" s="129">
        <f>SUM(CB140:CB142)</f>
        <v>0</v>
      </c>
      <c r="CC143" s="129">
        <f>SUM(CC140:CC142)</f>
        <v>0</v>
      </c>
      <c r="CQ143" s="1"/>
    </row>
    <row r="144" spans="78:95" ht="14.1" hidden="1" customHeight="1">
      <c r="BZ144" s="136"/>
      <c r="CQ144" s="1"/>
    </row>
    <row r="145" spans="78:95" ht="14.1" hidden="1" customHeight="1">
      <c r="BZ145" s="136"/>
      <c r="CQ145" s="1"/>
    </row>
    <row r="146" spans="78:95" ht="14.1" hidden="1" customHeight="1">
      <c r="BZ146" s="136"/>
      <c r="CQ146" s="1"/>
    </row>
    <row r="147" spans="78:95" ht="14.1" hidden="1" customHeight="1">
      <c r="BZ147" s="136"/>
      <c r="CQ147" s="1"/>
    </row>
    <row r="148" spans="78:95" ht="14.1" hidden="1" customHeight="1">
      <c r="BZ148" s="136"/>
      <c r="CQ148" s="1"/>
    </row>
    <row r="149" spans="78:95" ht="14.1" hidden="1" customHeight="1">
      <c r="BZ149" s="136"/>
      <c r="CQ149" s="1"/>
    </row>
    <row r="150" spans="78:95" ht="14.1" hidden="1" customHeight="1">
      <c r="BZ150" s="136"/>
      <c r="CQ150" s="1"/>
    </row>
    <row r="151" spans="78:95" ht="14.1" hidden="1" customHeight="1">
      <c r="BZ151" s="136"/>
      <c r="CQ151" s="1"/>
    </row>
    <row r="152" spans="78:95" ht="14.1" hidden="1" customHeight="1">
      <c r="BZ152" s="136"/>
      <c r="CQ152" s="1"/>
    </row>
    <row r="153" spans="78:95" ht="14.1" hidden="1" customHeight="1">
      <c r="BZ153" s="136"/>
      <c r="CQ153" s="1"/>
    </row>
    <row r="154" spans="78:95" ht="14.1" hidden="1" customHeight="1">
      <c r="BZ154" s="136"/>
      <c r="CQ154" s="1"/>
    </row>
    <row r="155" spans="78:95" ht="14.1" hidden="1" customHeight="1">
      <c r="BZ155" s="136"/>
      <c r="CQ155" s="1"/>
    </row>
    <row r="156" spans="78:95" ht="14.1" hidden="1" customHeight="1">
      <c r="BZ156" s="136"/>
      <c r="CQ156" s="1"/>
    </row>
    <row r="157" spans="78:95" ht="14.1" hidden="1" customHeight="1">
      <c r="BZ157" s="136"/>
      <c r="CQ157" s="1"/>
    </row>
    <row r="158" spans="78:95" ht="14.1" hidden="1" customHeight="1">
      <c r="BZ158" s="136"/>
      <c r="CQ158" s="1"/>
    </row>
    <row r="159" spans="78:95" ht="14.1" hidden="1" customHeight="1">
      <c r="BZ159" s="136"/>
      <c r="CQ159" s="1"/>
    </row>
    <row r="160" spans="78:95" ht="14.1" hidden="1" customHeight="1">
      <c r="BZ160" s="136"/>
      <c r="CQ160" s="1"/>
    </row>
    <row r="161" spans="78:95" ht="14.1" hidden="1" customHeight="1">
      <c r="BZ161" s="136"/>
      <c r="CQ161" s="1"/>
    </row>
    <row r="162" spans="78:95" ht="14.1" hidden="1" customHeight="1">
      <c r="BZ162" s="136"/>
      <c r="CA162" s="127"/>
      <c r="CB162" s="127"/>
      <c r="CC162" s="127"/>
      <c r="CF162" s="133"/>
      <c r="CG162" s="133"/>
      <c r="CH162" s="132"/>
      <c r="CI162" s="132"/>
      <c r="CJ162" s="133"/>
      <c r="CK162" s="133"/>
      <c r="CL162" s="133"/>
      <c r="CM162" s="133"/>
      <c r="CN162" s="133"/>
      <c r="CO162" s="133"/>
      <c r="CP162" s="133"/>
      <c r="CQ162" s="1"/>
    </row>
    <row r="163" spans="78:95" ht="14.1" hidden="1" customHeight="1">
      <c r="BZ163" s="136"/>
      <c r="CA163" s="127"/>
      <c r="CB163" s="127"/>
      <c r="CC163" s="127"/>
      <c r="CF163" s="133"/>
      <c r="CG163" s="133"/>
      <c r="CH163" s="132"/>
      <c r="CI163" s="132"/>
      <c r="CJ163" s="133"/>
      <c r="CK163" s="133"/>
      <c r="CL163" s="133"/>
      <c r="CM163" s="133"/>
      <c r="CN163" s="133"/>
      <c r="CO163" s="133"/>
      <c r="CP163" s="133"/>
      <c r="CQ163" s="1"/>
    </row>
    <row r="164" spans="78:95" ht="14.1" hidden="1" customHeight="1">
      <c r="BZ164" s="136"/>
      <c r="CA164" s="127"/>
      <c r="CB164" s="127"/>
      <c r="CC164" s="127"/>
      <c r="CF164" s="133"/>
      <c r="CG164" s="133"/>
      <c r="CH164" s="132"/>
      <c r="CI164" s="132"/>
      <c r="CJ164" s="133"/>
      <c r="CK164" s="133"/>
      <c r="CL164" s="133"/>
      <c r="CM164" s="133"/>
      <c r="CN164" s="133"/>
      <c r="CO164" s="133"/>
      <c r="CP164" s="133"/>
      <c r="CQ164" s="1"/>
    </row>
    <row r="165" spans="78:95" ht="14.1" hidden="1" customHeight="1">
      <c r="BZ165" s="136"/>
      <c r="CA165" s="127"/>
      <c r="CB165" s="127"/>
      <c r="CC165" s="127"/>
      <c r="CF165" s="133"/>
      <c r="CG165" s="133"/>
      <c r="CH165" s="132"/>
      <c r="CI165" s="132"/>
      <c r="CJ165" s="133"/>
      <c r="CK165" s="133"/>
      <c r="CL165" s="133"/>
      <c r="CM165" s="133"/>
      <c r="CN165" s="133"/>
      <c r="CO165" s="133"/>
      <c r="CP165" s="133"/>
      <c r="CQ165" s="1"/>
    </row>
    <row r="166" spans="78:95" ht="14.1" hidden="1" customHeight="1">
      <c r="BZ166" s="136"/>
      <c r="CA166" s="127"/>
      <c r="CB166" s="127"/>
      <c r="CC166" s="127"/>
      <c r="CF166" s="133"/>
      <c r="CG166" s="133"/>
      <c r="CH166" s="132"/>
      <c r="CI166" s="132"/>
      <c r="CJ166" s="133"/>
      <c r="CK166" s="133"/>
      <c r="CL166" s="133"/>
      <c r="CM166" s="133"/>
      <c r="CN166" s="133"/>
      <c r="CO166" s="133"/>
      <c r="CP166" s="133"/>
      <c r="CQ166" s="1"/>
    </row>
    <row r="167" spans="78:95" ht="14.1" hidden="1" customHeight="1">
      <c r="BZ167" s="136"/>
      <c r="CA167" s="127"/>
      <c r="CB167" s="127"/>
      <c r="CC167" s="127"/>
      <c r="CF167" s="133"/>
      <c r="CG167" s="133"/>
      <c r="CH167" s="132"/>
      <c r="CI167" s="132"/>
      <c r="CJ167" s="133"/>
      <c r="CK167" s="133"/>
      <c r="CL167" s="133"/>
      <c r="CM167" s="133"/>
      <c r="CN167" s="133"/>
      <c r="CO167" s="133"/>
      <c r="CP167" s="133"/>
      <c r="CQ167" s="1"/>
    </row>
    <row r="168" spans="78:95" ht="14.1" hidden="1" customHeight="1">
      <c r="BZ168" s="136"/>
      <c r="CA168" s="127"/>
      <c r="CB168" s="127"/>
      <c r="CC168" s="127"/>
      <c r="CF168" s="133"/>
      <c r="CG168" s="133"/>
      <c r="CH168" s="132"/>
      <c r="CI168" s="132"/>
      <c r="CJ168" s="133"/>
      <c r="CK168" s="133"/>
      <c r="CL168" s="133"/>
      <c r="CM168" s="133"/>
      <c r="CN168" s="133"/>
      <c r="CO168" s="133"/>
      <c r="CP168" s="133"/>
      <c r="CQ168" s="1"/>
    </row>
    <row r="169" spans="78:95" ht="14.1" hidden="1" customHeight="1">
      <c r="BZ169" s="136"/>
      <c r="CA169" s="127"/>
      <c r="CB169" s="127"/>
      <c r="CC169" s="127"/>
      <c r="CF169" s="133"/>
      <c r="CG169" s="133"/>
      <c r="CH169" s="132"/>
      <c r="CI169" s="132"/>
      <c r="CJ169" s="133"/>
      <c r="CK169" s="133"/>
      <c r="CL169" s="133"/>
      <c r="CM169" s="133"/>
      <c r="CN169" s="133"/>
      <c r="CO169" s="133"/>
      <c r="CP169" s="133"/>
      <c r="CQ169" s="1"/>
    </row>
    <row r="170" spans="78:95" ht="14.1" hidden="1" customHeight="1">
      <c r="BZ170" s="136"/>
      <c r="CA170" s="127"/>
      <c r="CB170" s="127"/>
      <c r="CC170" s="127"/>
      <c r="CF170" s="133"/>
      <c r="CG170" s="133"/>
      <c r="CH170" s="132"/>
      <c r="CI170" s="132"/>
      <c r="CJ170" s="133"/>
      <c r="CK170" s="133"/>
      <c r="CL170" s="133"/>
      <c r="CM170" s="133"/>
      <c r="CN170" s="133"/>
      <c r="CO170" s="133"/>
      <c r="CP170" s="133"/>
      <c r="CQ170" s="1"/>
    </row>
    <row r="171" spans="78:95" ht="14.1" hidden="1" customHeight="1">
      <c r="CA171" s="127"/>
      <c r="CB171" s="127"/>
      <c r="CC171" s="127"/>
      <c r="CF171" s="133"/>
      <c r="CG171" s="133"/>
      <c r="CH171" s="132"/>
      <c r="CI171" s="132"/>
      <c r="CJ171" s="133"/>
      <c r="CK171" s="133"/>
      <c r="CL171" s="133"/>
      <c r="CM171" s="133"/>
      <c r="CN171" s="133"/>
      <c r="CO171" s="133"/>
      <c r="CP171" s="133"/>
      <c r="CQ171" s="1"/>
    </row>
    <row r="172" spans="78:95" ht="14.1" hidden="1" customHeight="1">
      <c r="CA172" s="127"/>
      <c r="CB172" s="127"/>
      <c r="CC172" s="127"/>
      <c r="CF172" s="133"/>
      <c r="CG172" s="133"/>
      <c r="CH172" s="132"/>
      <c r="CI172" s="132"/>
      <c r="CJ172" s="133"/>
      <c r="CK172" s="133"/>
      <c r="CL172" s="133"/>
      <c r="CM172" s="133"/>
      <c r="CN172" s="133"/>
      <c r="CO172" s="133"/>
      <c r="CP172" s="133"/>
      <c r="CQ172" s="1"/>
    </row>
    <row r="173" spans="78:95" ht="14.1" hidden="1" customHeight="1">
      <c r="CA173" s="127"/>
      <c r="CB173" s="127"/>
      <c r="CC173" s="127"/>
      <c r="CF173" s="133"/>
      <c r="CG173" s="133"/>
      <c r="CH173" s="132"/>
      <c r="CI173" s="132"/>
      <c r="CJ173" s="133"/>
      <c r="CK173" s="133"/>
      <c r="CL173" s="133"/>
      <c r="CM173" s="133"/>
      <c r="CN173" s="133"/>
      <c r="CO173" s="133"/>
      <c r="CP173" s="133"/>
      <c r="CQ173" s="1"/>
    </row>
    <row r="174" spans="78:95" ht="14.1" hidden="1" customHeight="1">
      <c r="CA174" s="127"/>
      <c r="CB174" s="127"/>
      <c r="CC174" s="127"/>
      <c r="CF174" s="133"/>
      <c r="CG174" s="133"/>
      <c r="CH174" s="132"/>
      <c r="CI174" s="132"/>
      <c r="CJ174" s="133"/>
      <c r="CK174" s="133"/>
      <c r="CL174" s="133"/>
      <c r="CM174" s="133"/>
      <c r="CN174" s="133"/>
      <c r="CO174" s="133"/>
      <c r="CP174" s="133"/>
      <c r="CQ174" s="1"/>
    </row>
    <row r="175" spans="78:95" ht="14.1" hidden="1" customHeight="1">
      <c r="CA175" s="127"/>
      <c r="CB175" s="127"/>
      <c r="CC175" s="127"/>
      <c r="CF175" s="133"/>
      <c r="CG175" s="133"/>
      <c r="CH175" s="132"/>
      <c r="CI175" s="132"/>
      <c r="CJ175" s="133"/>
      <c r="CK175" s="133"/>
      <c r="CL175" s="133"/>
      <c r="CM175" s="133"/>
      <c r="CN175" s="133"/>
      <c r="CO175" s="133"/>
      <c r="CP175" s="133"/>
      <c r="CQ175" s="1"/>
    </row>
    <row r="176" spans="78:95" ht="14.1" hidden="1" customHeight="1">
      <c r="CA176" s="127"/>
      <c r="CB176" s="127"/>
      <c r="CC176" s="127"/>
      <c r="CF176" s="133"/>
      <c r="CG176" s="133"/>
      <c r="CH176" s="132"/>
      <c r="CI176" s="132"/>
      <c r="CJ176" s="133"/>
      <c r="CK176" s="133"/>
      <c r="CL176" s="133"/>
      <c r="CM176" s="133"/>
      <c r="CN176" s="133"/>
      <c r="CO176" s="133"/>
      <c r="CP176" s="133"/>
      <c r="CQ176" s="1"/>
    </row>
    <row r="177" spans="79:95" ht="14.1" hidden="1" customHeight="1">
      <c r="CA177" s="127"/>
      <c r="CB177" s="127"/>
      <c r="CC177" s="127"/>
      <c r="CF177" s="133"/>
      <c r="CG177" s="133"/>
      <c r="CH177" s="132"/>
      <c r="CI177" s="132"/>
      <c r="CJ177" s="133"/>
      <c r="CK177" s="133"/>
      <c r="CL177" s="133"/>
      <c r="CM177" s="133"/>
      <c r="CN177" s="133"/>
      <c r="CO177" s="133"/>
      <c r="CP177" s="133"/>
      <c r="CQ177" s="1"/>
    </row>
    <row r="178" spans="79:95" ht="14.1" hidden="1" customHeight="1">
      <c r="CA178" s="127"/>
      <c r="CB178" s="127"/>
      <c r="CC178" s="127"/>
      <c r="CF178" s="133"/>
      <c r="CG178" s="133"/>
      <c r="CH178" s="132"/>
      <c r="CI178" s="132"/>
      <c r="CJ178" s="133"/>
      <c r="CK178" s="133"/>
      <c r="CL178" s="133"/>
      <c r="CM178" s="133"/>
      <c r="CN178" s="133"/>
      <c r="CO178" s="133"/>
      <c r="CP178" s="133"/>
      <c r="CQ178" s="1"/>
    </row>
    <row r="179" spans="79:95" ht="14.1" hidden="1" customHeight="1">
      <c r="CA179" s="127"/>
      <c r="CB179" s="127"/>
      <c r="CC179" s="127"/>
      <c r="CF179" s="133"/>
      <c r="CG179" s="133"/>
      <c r="CH179" s="132"/>
      <c r="CI179" s="132"/>
      <c r="CJ179" s="133"/>
      <c r="CK179" s="133"/>
      <c r="CL179" s="133"/>
      <c r="CM179" s="133"/>
      <c r="CN179" s="133"/>
      <c r="CO179" s="133"/>
      <c r="CP179" s="133"/>
      <c r="CQ179" s="1"/>
    </row>
    <row r="180" spans="79:95" ht="14.1" hidden="1" customHeight="1">
      <c r="CA180" s="127"/>
      <c r="CB180" s="127"/>
      <c r="CC180" s="127"/>
      <c r="CF180" s="133"/>
      <c r="CG180" s="133"/>
      <c r="CH180" s="132"/>
      <c r="CI180" s="132"/>
      <c r="CJ180" s="133"/>
      <c r="CK180" s="133"/>
      <c r="CL180" s="133"/>
      <c r="CM180" s="133"/>
      <c r="CN180" s="133"/>
      <c r="CO180" s="133"/>
      <c r="CP180" s="133"/>
      <c r="CQ180" s="1"/>
    </row>
    <row r="181" spans="79:95" ht="14.1" hidden="1" customHeight="1">
      <c r="CA181" s="127"/>
      <c r="CB181" s="127"/>
      <c r="CC181" s="127"/>
      <c r="CF181" s="133"/>
      <c r="CG181" s="133"/>
      <c r="CH181" s="132"/>
      <c r="CI181" s="132"/>
      <c r="CJ181" s="133"/>
      <c r="CK181" s="133"/>
      <c r="CL181" s="133"/>
      <c r="CM181" s="133"/>
      <c r="CN181" s="133"/>
      <c r="CO181" s="133"/>
      <c r="CP181" s="133"/>
      <c r="CQ181" s="1"/>
    </row>
    <row r="182" spans="79:95" ht="14.1" hidden="1" customHeight="1">
      <c r="CA182" s="127"/>
      <c r="CB182" s="127"/>
      <c r="CC182" s="127"/>
      <c r="CF182" s="133"/>
      <c r="CG182" s="133"/>
      <c r="CH182" s="132"/>
      <c r="CI182" s="132"/>
      <c r="CJ182" s="133"/>
      <c r="CK182" s="133"/>
      <c r="CL182" s="133"/>
      <c r="CM182" s="133"/>
      <c r="CN182" s="133"/>
      <c r="CO182" s="133"/>
      <c r="CP182" s="133"/>
      <c r="CQ182" s="1"/>
    </row>
    <row r="183" spans="79:95" ht="14.1" hidden="1" customHeight="1">
      <c r="CA183" s="127"/>
      <c r="CB183" s="127"/>
      <c r="CC183" s="127"/>
      <c r="CF183" s="133"/>
      <c r="CG183" s="133"/>
      <c r="CH183" s="132"/>
      <c r="CI183" s="132"/>
      <c r="CJ183" s="133"/>
      <c r="CK183" s="133"/>
      <c r="CL183" s="133"/>
      <c r="CM183" s="133"/>
      <c r="CN183" s="133"/>
      <c r="CO183" s="133"/>
      <c r="CP183" s="133"/>
      <c r="CQ183" s="1"/>
    </row>
    <row r="184" spans="79:95" ht="14.1" hidden="1" customHeight="1">
      <c r="CA184" s="127"/>
      <c r="CB184" s="127"/>
      <c r="CC184" s="127"/>
      <c r="CF184" s="133"/>
      <c r="CG184" s="133"/>
      <c r="CH184" s="132"/>
      <c r="CI184" s="132"/>
      <c r="CJ184" s="133"/>
      <c r="CK184" s="133"/>
      <c r="CL184" s="133"/>
      <c r="CM184" s="133"/>
      <c r="CN184" s="133"/>
      <c r="CO184" s="133"/>
      <c r="CP184" s="133"/>
      <c r="CQ184" s="1"/>
    </row>
    <row r="185" spans="79:95" ht="14.1" hidden="1" customHeight="1">
      <c r="CA185" s="127"/>
      <c r="CB185" s="127"/>
      <c r="CC185" s="127"/>
      <c r="CF185" s="133"/>
      <c r="CG185" s="133"/>
      <c r="CH185" s="132"/>
      <c r="CI185" s="132"/>
      <c r="CJ185" s="133"/>
      <c r="CK185" s="133"/>
      <c r="CL185" s="133"/>
      <c r="CM185" s="133"/>
      <c r="CN185" s="133"/>
      <c r="CO185" s="133"/>
      <c r="CP185" s="133"/>
      <c r="CQ185" s="1"/>
    </row>
    <row r="186" spans="79:95" ht="14.1" hidden="1" customHeight="1">
      <c r="CA186" s="127"/>
      <c r="CB186" s="127"/>
      <c r="CC186" s="127"/>
      <c r="CF186" s="133"/>
      <c r="CG186" s="133"/>
      <c r="CH186" s="132"/>
      <c r="CI186" s="132"/>
      <c r="CJ186" s="133"/>
      <c r="CK186" s="133"/>
      <c r="CL186" s="133"/>
      <c r="CM186" s="133"/>
      <c r="CN186" s="133"/>
      <c r="CO186" s="133"/>
      <c r="CP186" s="133"/>
      <c r="CQ186" s="1"/>
    </row>
    <row r="187" spans="79:95" ht="14.1" hidden="1" customHeight="1">
      <c r="CA187" s="127"/>
      <c r="CB187" s="127"/>
      <c r="CC187" s="127"/>
      <c r="CF187" s="133"/>
      <c r="CG187" s="133"/>
      <c r="CH187" s="132"/>
      <c r="CI187" s="132"/>
      <c r="CJ187" s="133"/>
      <c r="CK187" s="133"/>
      <c r="CL187" s="133"/>
      <c r="CM187" s="133"/>
      <c r="CN187" s="133"/>
      <c r="CO187" s="133"/>
      <c r="CP187" s="133"/>
      <c r="CQ187" s="1"/>
    </row>
    <row r="188" spans="79:95" ht="14.1" hidden="1" customHeight="1">
      <c r="CA188" s="127"/>
      <c r="CB188" s="127"/>
      <c r="CC188" s="127"/>
      <c r="CF188" s="133"/>
      <c r="CG188" s="133"/>
      <c r="CH188" s="132"/>
      <c r="CI188" s="132"/>
      <c r="CJ188" s="133"/>
      <c r="CK188" s="133"/>
      <c r="CL188" s="133"/>
      <c r="CM188" s="133"/>
      <c r="CN188" s="133"/>
      <c r="CO188" s="133"/>
      <c r="CP188" s="133"/>
      <c r="CQ188" s="1"/>
    </row>
    <row r="189" spans="79:95" ht="14.1" hidden="1" customHeight="1">
      <c r="CA189" s="127"/>
      <c r="CB189" s="127"/>
      <c r="CC189" s="127"/>
      <c r="CF189" s="133"/>
      <c r="CG189" s="133"/>
      <c r="CH189" s="132"/>
      <c r="CI189" s="132"/>
      <c r="CJ189" s="133"/>
      <c r="CK189" s="133"/>
      <c r="CL189" s="133"/>
      <c r="CM189" s="133"/>
      <c r="CN189" s="133"/>
      <c r="CO189" s="133"/>
      <c r="CP189" s="133"/>
      <c r="CQ189" s="1"/>
    </row>
    <row r="190" spans="79:95" ht="14.1" hidden="1" customHeight="1">
      <c r="CA190" s="127"/>
      <c r="CB190" s="127"/>
      <c r="CC190" s="127"/>
      <c r="CF190" s="133"/>
      <c r="CG190" s="133"/>
      <c r="CH190" s="132"/>
      <c r="CI190" s="132"/>
      <c r="CJ190" s="133"/>
      <c r="CK190" s="133"/>
      <c r="CL190" s="133"/>
      <c r="CM190" s="133"/>
      <c r="CN190" s="133"/>
      <c r="CO190" s="133"/>
      <c r="CP190" s="133"/>
      <c r="CQ190" s="1"/>
    </row>
    <row r="191" spans="79:95" ht="14.1" hidden="1" customHeight="1">
      <c r="CA191" s="127"/>
      <c r="CB191" s="127"/>
      <c r="CC191" s="127"/>
      <c r="CF191" s="133"/>
      <c r="CG191" s="133"/>
      <c r="CH191" s="132"/>
      <c r="CI191" s="132"/>
      <c r="CJ191" s="133"/>
      <c r="CK191" s="133"/>
      <c r="CL191" s="133"/>
      <c r="CM191" s="133"/>
      <c r="CN191" s="133"/>
      <c r="CO191" s="133"/>
      <c r="CP191" s="133"/>
      <c r="CQ191" s="1"/>
    </row>
    <row r="192" spans="79:95" ht="14.1" hidden="1" customHeight="1">
      <c r="CA192" s="127"/>
      <c r="CB192" s="127"/>
      <c r="CC192" s="127"/>
      <c r="CF192" s="133"/>
      <c r="CG192" s="133"/>
      <c r="CH192" s="132"/>
      <c r="CI192" s="132"/>
      <c r="CJ192" s="133"/>
      <c r="CK192" s="133"/>
      <c r="CL192" s="133"/>
      <c r="CM192" s="133"/>
      <c r="CN192" s="133"/>
      <c r="CO192" s="133"/>
      <c r="CP192" s="133"/>
      <c r="CQ192" s="1"/>
    </row>
    <row r="193" spans="79:95" ht="14.1" hidden="1" customHeight="1">
      <c r="CA193" s="127"/>
      <c r="CB193" s="127"/>
      <c r="CC193" s="127"/>
      <c r="CF193" s="133"/>
      <c r="CG193" s="133"/>
      <c r="CH193" s="132"/>
      <c r="CI193" s="132"/>
      <c r="CJ193" s="133"/>
      <c r="CK193" s="133"/>
      <c r="CL193" s="133"/>
      <c r="CM193" s="133"/>
      <c r="CN193" s="133"/>
      <c r="CO193" s="133"/>
      <c r="CP193" s="133"/>
      <c r="CQ193" s="1"/>
    </row>
    <row r="194" spans="79:95" ht="14.1" hidden="1" customHeight="1">
      <c r="CA194" s="127"/>
      <c r="CB194" s="127"/>
      <c r="CC194" s="127"/>
      <c r="CF194" s="133"/>
      <c r="CG194" s="133"/>
      <c r="CH194" s="132"/>
      <c r="CI194" s="132"/>
      <c r="CJ194" s="133"/>
      <c r="CK194" s="133"/>
      <c r="CL194" s="133"/>
      <c r="CM194" s="133"/>
      <c r="CN194" s="133"/>
      <c r="CO194" s="133"/>
      <c r="CP194" s="133"/>
      <c r="CQ194" s="1"/>
    </row>
    <row r="195" spans="79:95" ht="14.1" hidden="1" customHeight="1">
      <c r="CA195" s="127"/>
      <c r="CB195" s="127"/>
      <c r="CC195" s="127"/>
      <c r="CF195" s="133"/>
      <c r="CG195" s="133"/>
      <c r="CH195" s="132"/>
      <c r="CI195" s="132"/>
      <c r="CJ195" s="133"/>
      <c r="CK195" s="133"/>
      <c r="CL195" s="133"/>
      <c r="CM195" s="133"/>
      <c r="CN195" s="133"/>
      <c r="CO195" s="133"/>
      <c r="CP195" s="133"/>
      <c r="CQ195" s="1"/>
    </row>
    <row r="196" spans="79:95" ht="14.1" hidden="1" customHeight="1">
      <c r="CA196" s="127"/>
      <c r="CB196" s="127"/>
      <c r="CC196" s="127"/>
      <c r="CF196" s="133"/>
      <c r="CG196" s="133"/>
      <c r="CH196" s="132"/>
      <c r="CI196" s="132"/>
      <c r="CJ196" s="133"/>
      <c r="CK196" s="133"/>
      <c r="CL196" s="133"/>
      <c r="CM196" s="133"/>
      <c r="CN196" s="133"/>
      <c r="CO196" s="133"/>
      <c r="CP196" s="133"/>
      <c r="CQ196" s="1"/>
    </row>
    <row r="197" spans="79:95" ht="14.1" hidden="1" customHeight="1">
      <c r="CA197" s="127"/>
      <c r="CB197" s="127"/>
      <c r="CC197" s="127"/>
      <c r="CF197" s="133"/>
      <c r="CG197" s="133"/>
      <c r="CH197" s="132"/>
      <c r="CI197" s="132"/>
      <c r="CJ197" s="133"/>
      <c r="CK197" s="133"/>
      <c r="CL197" s="133"/>
      <c r="CM197" s="133"/>
      <c r="CN197" s="133"/>
      <c r="CO197" s="133"/>
      <c r="CP197" s="133"/>
      <c r="CQ197" s="1"/>
    </row>
    <row r="198" spans="79:95" ht="14.1" hidden="1" customHeight="1">
      <c r="CA198" s="127"/>
      <c r="CB198" s="127"/>
      <c r="CC198" s="127"/>
      <c r="CF198" s="133"/>
      <c r="CG198" s="133"/>
      <c r="CH198" s="132"/>
      <c r="CI198" s="132"/>
      <c r="CJ198" s="133"/>
      <c r="CK198" s="133"/>
      <c r="CL198" s="133"/>
      <c r="CM198" s="133"/>
      <c r="CN198" s="133"/>
      <c r="CO198" s="133"/>
      <c r="CP198" s="133"/>
      <c r="CQ198" s="1"/>
    </row>
    <row r="199" spans="79:95" ht="14.1" hidden="1" customHeight="1">
      <c r="CA199" s="127"/>
      <c r="CB199" s="127"/>
      <c r="CC199" s="127"/>
      <c r="CF199" s="133"/>
      <c r="CG199" s="133"/>
      <c r="CH199" s="132"/>
      <c r="CI199" s="132"/>
      <c r="CJ199" s="133"/>
      <c r="CK199" s="133"/>
      <c r="CL199" s="133"/>
      <c r="CM199" s="133"/>
      <c r="CN199" s="133"/>
      <c r="CO199" s="133"/>
      <c r="CP199" s="133"/>
      <c r="CQ199" s="1"/>
    </row>
    <row r="200" spans="79:95" ht="14.1" hidden="1" customHeight="1">
      <c r="CA200" s="127"/>
      <c r="CB200" s="127"/>
      <c r="CC200" s="127"/>
      <c r="CF200" s="133"/>
      <c r="CG200" s="133"/>
      <c r="CH200" s="132"/>
      <c r="CI200" s="132"/>
      <c r="CJ200" s="133"/>
      <c r="CK200" s="133"/>
      <c r="CL200" s="133"/>
      <c r="CM200" s="133"/>
      <c r="CN200" s="133"/>
      <c r="CO200" s="133"/>
      <c r="CP200" s="133"/>
      <c r="CQ200" s="1"/>
    </row>
    <row r="201" spans="79:95" ht="14.1" hidden="1" customHeight="1">
      <c r="CA201" s="127"/>
      <c r="CB201" s="127"/>
      <c r="CC201" s="127"/>
      <c r="CF201" s="133"/>
      <c r="CG201" s="133"/>
      <c r="CH201" s="132"/>
      <c r="CI201" s="132"/>
      <c r="CJ201" s="133"/>
      <c r="CK201" s="133"/>
      <c r="CL201" s="133"/>
      <c r="CM201" s="133"/>
      <c r="CN201" s="133"/>
      <c r="CO201" s="133"/>
      <c r="CP201" s="133"/>
      <c r="CQ201" s="1"/>
    </row>
    <row r="202" spans="79:95" ht="14.1" hidden="1" customHeight="1">
      <c r="CA202" s="127"/>
      <c r="CB202" s="127"/>
      <c r="CC202" s="127"/>
      <c r="CF202" s="133"/>
      <c r="CG202" s="133"/>
      <c r="CH202" s="132"/>
      <c r="CI202" s="132"/>
      <c r="CJ202" s="133"/>
      <c r="CK202" s="133"/>
      <c r="CL202" s="133"/>
      <c r="CM202" s="133"/>
      <c r="CN202" s="133"/>
      <c r="CO202" s="133"/>
      <c r="CP202" s="133"/>
      <c r="CQ202" s="1"/>
    </row>
    <row r="203" spans="79:95" ht="14.1" hidden="1" customHeight="1">
      <c r="CA203" s="127"/>
      <c r="CB203" s="127"/>
      <c r="CC203" s="127"/>
      <c r="CF203" s="133"/>
      <c r="CG203" s="133"/>
      <c r="CH203" s="132"/>
      <c r="CI203" s="132"/>
      <c r="CJ203" s="133"/>
      <c r="CK203" s="133"/>
      <c r="CL203" s="133"/>
      <c r="CM203" s="133"/>
      <c r="CN203" s="133"/>
      <c r="CO203" s="133"/>
      <c r="CP203" s="133"/>
      <c r="CQ203" s="1"/>
    </row>
    <row r="204" spans="79:95" ht="14.1" hidden="1" customHeight="1">
      <c r="CA204" s="127"/>
      <c r="CB204" s="127"/>
      <c r="CC204" s="127"/>
      <c r="CF204" s="133"/>
      <c r="CG204" s="133"/>
      <c r="CH204" s="132"/>
      <c r="CI204" s="132"/>
      <c r="CJ204" s="133"/>
      <c r="CK204" s="133"/>
      <c r="CL204" s="133"/>
      <c r="CM204" s="133"/>
      <c r="CN204" s="133"/>
      <c r="CO204" s="133"/>
      <c r="CP204" s="133"/>
      <c r="CQ204" s="1"/>
    </row>
    <row r="205" spans="79:95" ht="14.1" hidden="1" customHeight="1">
      <c r="CA205" s="127"/>
      <c r="CB205" s="127"/>
      <c r="CC205" s="127"/>
      <c r="CF205" s="133"/>
      <c r="CG205" s="133"/>
      <c r="CH205" s="132"/>
      <c r="CI205" s="132"/>
      <c r="CJ205" s="133"/>
      <c r="CK205" s="133"/>
      <c r="CL205" s="133"/>
      <c r="CM205" s="133"/>
      <c r="CN205" s="133"/>
      <c r="CO205" s="133"/>
      <c r="CP205" s="133"/>
      <c r="CQ205" s="1"/>
    </row>
    <row r="206" spans="79:95" ht="14.1" hidden="1" customHeight="1">
      <c r="CA206" s="127"/>
      <c r="CB206" s="127"/>
      <c r="CC206" s="127"/>
      <c r="CF206" s="133"/>
      <c r="CG206" s="133"/>
      <c r="CH206" s="132"/>
      <c r="CI206" s="132"/>
      <c r="CJ206" s="133"/>
      <c r="CK206" s="133"/>
      <c r="CL206" s="133"/>
      <c r="CM206" s="133"/>
      <c r="CN206" s="133"/>
      <c r="CO206" s="133"/>
      <c r="CP206" s="133"/>
      <c r="CQ206" s="1"/>
    </row>
    <row r="207" spans="79:95" ht="14.1" hidden="1" customHeight="1">
      <c r="CA207" s="127"/>
      <c r="CB207" s="127"/>
      <c r="CC207" s="127"/>
      <c r="CF207" s="133"/>
      <c r="CG207" s="133"/>
      <c r="CH207" s="132"/>
      <c r="CI207" s="132"/>
      <c r="CJ207" s="133"/>
      <c r="CK207" s="133"/>
      <c r="CL207" s="133"/>
      <c r="CM207" s="133"/>
      <c r="CN207" s="133"/>
      <c r="CO207" s="133"/>
      <c r="CP207" s="133"/>
      <c r="CQ207" s="1"/>
    </row>
    <row r="208" spans="79:95" ht="14.1" hidden="1" customHeight="1">
      <c r="CA208" s="127"/>
      <c r="CB208" s="127"/>
      <c r="CC208" s="127"/>
      <c r="CF208" s="133"/>
      <c r="CG208" s="133"/>
      <c r="CH208" s="132"/>
      <c r="CI208" s="132"/>
      <c r="CJ208" s="133"/>
      <c r="CK208" s="133"/>
      <c r="CL208" s="133"/>
      <c r="CM208" s="133"/>
      <c r="CN208" s="133"/>
      <c r="CO208" s="133"/>
      <c r="CP208" s="133"/>
      <c r="CQ208" s="1"/>
    </row>
    <row r="209" spans="79:95" ht="14.1" hidden="1" customHeight="1">
      <c r="CA209" s="127"/>
      <c r="CB209" s="127"/>
      <c r="CC209" s="127"/>
      <c r="CF209" s="133"/>
      <c r="CG209" s="133"/>
      <c r="CH209" s="132"/>
      <c r="CI209" s="132"/>
      <c r="CJ209" s="133"/>
      <c r="CK209" s="133"/>
      <c r="CL209" s="133"/>
      <c r="CM209" s="133"/>
      <c r="CN209" s="133"/>
      <c r="CO209" s="133"/>
      <c r="CP209" s="133"/>
      <c r="CQ209" s="1"/>
    </row>
    <row r="210" spans="79:95" ht="14.1" hidden="1" customHeight="1">
      <c r="CA210" s="127"/>
      <c r="CB210" s="127"/>
      <c r="CC210" s="127"/>
      <c r="CF210" s="133"/>
      <c r="CG210" s="133"/>
      <c r="CH210" s="132"/>
      <c r="CI210" s="132"/>
      <c r="CJ210" s="133"/>
      <c r="CK210" s="133"/>
      <c r="CL210" s="133"/>
      <c r="CM210" s="133"/>
      <c r="CN210" s="133"/>
      <c r="CO210" s="133"/>
      <c r="CP210" s="133"/>
      <c r="CQ210" s="1"/>
    </row>
    <row r="211" spans="79:95" ht="14.1" hidden="1" customHeight="1">
      <c r="CA211" s="127"/>
      <c r="CB211" s="127"/>
      <c r="CC211" s="127"/>
      <c r="CF211" s="133"/>
      <c r="CG211" s="133"/>
      <c r="CH211" s="132"/>
      <c r="CI211" s="132"/>
      <c r="CJ211" s="133"/>
      <c r="CK211" s="133"/>
      <c r="CL211" s="133"/>
      <c r="CM211" s="133"/>
      <c r="CN211" s="133"/>
      <c r="CO211" s="133"/>
      <c r="CP211" s="133"/>
      <c r="CQ211" s="1"/>
    </row>
    <row r="212" spans="79:95" ht="14.1" hidden="1" customHeight="1">
      <c r="CA212" s="127"/>
      <c r="CB212" s="127"/>
      <c r="CC212" s="127"/>
      <c r="CF212" s="133"/>
      <c r="CG212" s="133"/>
      <c r="CH212" s="132"/>
      <c r="CI212" s="132"/>
      <c r="CJ212" s="133"/>
      <c r="CK212" s="133"/>
      <c r="CL212" s="133"/>
      <c r="CM212" s="133"/>
      <c r="CN212" s="133"/>
      <c r="CO212" s="133"/>
      <c r="CP212" s="133"/>
      <c r="CQ212" s="1"/>
    </row>
    <row r="213" spans="79:95" ht="14.1" hidden="1" customHeight="1">
      <c r="CA213" s="127"/>
      <c r="CB213" s="127"/>
      <c r="CC213" s="127"/>
      <c r="CF213" s="133"/>
      <c r="CG213" s="133"/>
      <c r="CH213" s="132"/>
      <c r="CI213" s="132"/>
      <c r="CJ213" s="133"/>
      <c r="CK213" s="133"/>
      <c r="CL213" s="133"/>
      <c r="CM213" s="133"/>
      <c r="CN213" s="133"/>
      <c r="CO213" s="133"/>
      <c r="CP213" s="133"/>
      <c r="CQ213" s="1"/>
    </row>
    <row r="214" spans="79:95" ht="14.1" hidden="1" customHeight="1">
      <c r="CA214" s="127"/>
      <c r="CB214" s="127"/>
      <c r="CC214" s="127"/>
      <c r="CF214" s="133"/>
      <c r="CG214" s="133"/>
      <c r="CH214" s="132"/>
      <c r="CI214" s="132"/>
      <c r="CJ214" s="133"/>
      <c r="CK214" s="133"/>
      <c r="CL214" s="133"/>
      <c r="CM214" s="133"/>
      <c r="CN214" s="133"/>
      <c r="CO214" s="133"/>
      <c r="CP214" s="133"/>
    </row>
    <row r="215" spans="79:95" ht="14.1" hidden="1" customHeight="1">
      <c r="CA215" s="127"/>
      <c r="CB215" s="127"/>
      <c r="CC215" s="127"/>
      <c r="CF215" s="133"/>
      <c r="CG215" s="133"/>
      <c r="CH215" s="132"/>
      <c r="CI215" s="132"/>
      <c r="CJ215" s="133"/>
      <c r="CK215" s="133"/>
      <c r="CL215" s="133"/>
      <c r="CM215" s="133"/>
      <c r="CN215" s="133"/>
      <c r="CO215" s="133"/>
      <c r="CP215" s="133"/>
    </row>
    <row r="216" spans="79:95" ht="14.1" hidden="1" customHeight="1">
      <c r="CA216" s="127"/>
      <c r="CB216" s="127"/>
      <c r="CC216" s="127"/>
      <c r="CF216" s="133"/>
      <c r="CG216" s="133"/>
      <c r="CH216" s="132"/>
      <c r="CI216" s="132"/>
      <c r="CJ216" s="133"/>
      <c r="CK216" s="133"/>
      <c r="CL216" s="133"/>
      <c r="CM216" s="133"/>
      <c r="CN216" s="133"/>
      <c r="CO216" s="133"/>
      <c r="CP216" s="133"/>
    </row>
    <row r="217" spans="79:95" ht="14.1" hidden="1" customHeight="1">
      <c r="CA217" s="127"/>
      <c r="CB217" s="127"/>
      <c r="CC217" s="127"/>
      <c r="CF217" s="133"/>
      <c r="CG217" s="133"/>
      <c r="CH217" s="132"/>
      <c r="CI217" s="132"/>
      <c r="CJ217" s="133"/>
      <c r="CK217" s="133"/>
      <c r="CL217" s="133"/>
      <c r="CM217" s="133"/>
      <c r="CN217" s="133"/>
      <c r="CO217" s="133"/>
      <c r="CP217" s="133"/>
    </row>
    <row r="218" spans="79:95" ht="14.1" hidden="1" customHeight="1">
      <c r="CA218" s="127"/>
      <c r="CB218" s="127"/>
      <c r="CC218" s="127"/>
      <c r="CF218" s="133"/>
      <c r="CG218" s="133"/>
      <c r="CH218" s="132"/>
      <c r="CI218" s="132"/>
      <c r="CJ218" s="133"/>
      <c r="CK218" s="133"/>
      <c r="CL218" s="133"/>
      <c r="CM218" s="133"/>
      <c r="CN218" s="133"/>
      <c r="CO218" s="133"/>
      <c r="CP218" s="133"/>
    </row>
    <row r="219" spans="79:95" ht="14.1" hidden="1" customHeight="1">
      <c r="CA219" s="127"/>
      <c r="CB219" s="127"/>
      <c r="CC219" s="127"/>
      <c r="CF219" s="133"/>
      <c r="CG219" s="133"/>
      <c r="CH219" s="132"/>
      <c r="CI219" s="132"/>
      <c r="CJ219" s="133"/>
      <c r="CK219" s="133"/>
      <c r="CL219" s="133"/>
      <c r="CM219" s="133"/>
      <c r="CN219" s="133"/>
      <c r="CO219" s="133"/>
      <c r="CP219" s="133"/>
    </row>
    <row r="220" spans="79:95" ht="14.1" hidden="1" customHeight="1">
      <c r="CA220" s="127"/>
      <c r="CB220" s="127"/>
      <c r="CC220" s="127"/>
      <c r="CF220" s="133"/>
      <c r="CG220" s="133"/>
      <c r="CH220" s="132"/>
      <c r="CI220" s="132"/>
      <c r="CJ220" s="133"/>
      <c r="CK220" s="133"/>
      <c r="CL220" s="133"/>
      <c r="CM220" s="133"/>
      <c r="CN220" s="133"/>
      <c r="CO220" s="133"/>
      <c r="CP220" s="133"/>
    </row>
    <row r="221" spans="79:95" ht="14.1" hidden="1" customHeight="1">
      <c r="CA221" s="127"/>
      <c r="CB221" s="127"/>
      <c r="CC221" s="127"/>
      <c r="CF221" s="133"/>
      <c r="CG221" s="133"/>
      <c r="CH221" s="132"/>
      <c r="CI221" s="132"/>
      <c r="CJ221" s="133"/>
      <c r="CK221" s="133"/>
      <c r="CL221" s="133"/>
      <c r="CM221" s="133"/>
      <c r="CN221" s="133"/>
      <c r="CO221" s="133"/>
      <c r="CP221" s="133"/>
    </row>
    <row r="222" spans="79:95" ht="14.1" hidden="1" customHeight="1">
      <c r="CA222" s="127"/>
      <c r="CB222" s="127"/>
      <c r="CC222" s="127"/>
      <c r="CF222" s="133"/>
      <c r="CG222" s="133"/>
      <c r="CH222" s="132"/>
      <c r="CI222" s="132"/>
      <c r="CJ222" s="133"/>
      <c r="CK222" s="133"/>
      <c r="CL222" s="133"/>
      <c r="CM222" s="133"/>
      <c r="CN222" s="133"/>
      <c r="CO222" s="133"/>
      <c r="CP222" s="133"/>
    </row>
    <row r="223" spans="79:95" ht="14.1" hidden="1" customHeight="1">
      <c r="CA223" s="127"/>
      <c r="CB223" s="127"/>
      <c r="CC223" s="127"/>
      <c r="CF223" s="133"/>
      <c r="CG223" s="133"/>
      <c r="CH223" s="132"/>
      <c r="CI223" s="132"/>
      <c r="CJ223" s="133"/>
      <c r="CK223" s="133"/>
      <c r="CL223" s="133"/>
      <c r="CM223" s="133"/>
      <c r="CN223" s="133"/>
      <c r="CO223" s="133"/>
      <c r="CP223" s="133"/>
    </row>
    <row r="224" spans="79:95" ht="14.1" hidden="1" customHeight="1">
      <c r="CA224" s="127"/>
      <c r="CB224" s="127"/>
      <c r="CC224" s="127"/>
      <c r="CF224" s="133"/>
      <c r="CG224" s="133"/>
      <c r="CH224" s="132"/>
      <c r="CI224" s="132"/>
      <c r="CJ224" s="133"/>
      <c r="CK224" s="133"/>
      <c r="CL224" s="133"/>
      <c r="CM224" s="133"/>
      <c r="CN224" s="133"/>
      <c r="CO224" s="133"/>
      <c r="CP224" s="133"/>
    </row>
    <row r="225" spans="79:94" ht="14.1" hidden="1" customHeight="1">
      <c r="CA225" s="127"/>
      <c r="CB225" s="127"/>
      <c r="CC225" s="127"/>
      <c r="CF225" s="133"/>
      <c r="CG225" s="133"/>
      <c r="CH225" s="132"/>
      <c r="CI225" s="132"/>
      <c r="CJ225" s="133"/>
      <c r="CK225" s="133"/>
      <c r="CL225" s="133"/>
      <c r="CM225" s="133"/>
      <c r="CN225" s="133"/>
      <c r="CO225" s="133"/>
      <c r="CP225" s="133"/>
    </row>
    <row r="226" spans="79:94" ht="14.1" hidden="1" customHeight="1">
      <c r="CA226" s="127"/>
      <c r="CB226" s="127"/>
      <c r="CC226" s="127"/>
      <c r="CF226" s="133"/>
      <c r="CG226" s="133"/>
      <c r="CH226" s="132"/>
      <c r="CI226" s="132"/>
      <c r="CJ226" s="133"/>
      <c r="CK226" s="133"/>
      <c r="CL226" s="133"/>
      <c r="CM226" s="133"/>
      <c r="CN226" s="133"/>
      <c r="CO226" s="133"/>
      <c r="CP226" s="133"/>
    </row>
    <row r="227" spans="79:94" ht="14.1" hidden="1" customHeight="1">
      <c r="CA227" s="127"/>
      <c r="CB227" s="127"/>
      <c r="CC227" s="127"/>
      <c r="CF227" s="133"/>
      <c r="CG227" s="133"/>
      <c r="CH227" s="132"/>
      <c r="CI227" s="132"/>
      <c r="CJ227" s="133"/>
      <c r="CK227" s="133"/>
      <c r="CL227" s="133"/>
      <c r="CM227" s="133"/>
      <c r="CN227" s="133"/>
      <c r="CO227" s="133"/>
      <c r="CP227" s="133"/>
    </row>
    <row r="228" spans="79:94" ht="14.1" hidden="1" customHeight="1">
      <c r="CA228" s="127"/>
      <c r="CB228" s="127"/>
      <c r="CC228" s="127"/>
      <c r="CF228" s="133"/>
      <c r="CG228" s="133"/>
      <c r="CH228" s="132"/>
      <c r="CI228" s="132"/>
      <c r="CJ228" s="133"/>
      <c r="CK228" s="133"/>
      <c r="CL228" s="133"/>
      <c r="CM228" s="133"/>
      <c r="CN228" s="133"/>
      <c r="CO228" s="133"/>
      <c r="CP228" s="133"/>
    </row>
    <row r="229" spans="79:94" ht="14.1" hidden="1" customHeight="1">
      <c r="CA229" s="127"/>
      <c r="CB229" s="127"/>
      <c r="CC229" s="127"/>
      <c r="CF229" s="133"/>
      <c r="CG229" s="133"/>
      <c r="CH229" s="132"/>
      <c r="CI229" s="132"/>
      <c r="CJ229" s="133"/>
      <c r="CK229" s="133"/>
      <c r="CL229" s="133"/>
      <c r="CM229" s="133"/>
      <c r="CN229" s="133"/>
      <c r="CO229" s="133"/>
      <c r="CP229" s="133"/>
    </row>
    <row r="230" spans="79:94" ht="14.1" hidden="1" customHeight="1">
      <c r="CA230" s="127"/>
      <c r="CB230" s="127"/>
      <c r="CC230" s="127"/>
      <c r="CF230" s="133"/>
      <c r="CG230" s="133"/>
      <c r="CH230" s="132"/>
      <c r="CI230" s="132"/>
      <c r="CJ230" s="133"/>
      <c r="CK230" s="133"/>
      <c r="CL230" s="133"/>
      <c r="CM230" s="133"/>
      <c r="CN230" s="133"/>
      <c r="CO230" s="133"/>
      <c r="CP230" s="133"/>
    </row>
    <row r="231" spans="79:94" ht="14.1" hidden="1" customHeight="1">
      <c r="CA231" s="127"/>
      <c r="CB231" s="127"/>
      <c r="CC231" s="127"/>
      <c r="CF231" s="133"/>
      <c r="CG231" s="133"/>
      <c r="CH231" s="132"/>
      <c r="CI231" s="132"/>
      <c r="CJ231" s="133"/>
      <c r="CK231" s="133"/>
      <c r="CL231" s="133"/>
      <c r="CM231" s="133"/>
      <c r="CN231" s="133"/>
      <c r="CO231" s="133"/>
      <c r="CP231" s="133"/>
    </row>
    <row r="232" spans="79:94" ht="14.1" hidden="1" customHeight="1">
      <c r="CA232" s="127"/>
      <c r="CB232" s="127"/>
      <c r="CC232" s="127"/>
      <c r="CF232" s="133"/>
      <c r="CG232" s="133"/>
      <c r="CH232" s="132"/>
      <c r="CI232" s="132"/>
      <c r="CJ232" s="133"/>
      <c r="CK232" s="133"/>
      <c r="CL232" s="133"/>
      <c r="CM232" s="133"/>
      <c r="CN232" s="133"/>
      <c r="CO232" s="133"/>
      <c r="CP232" s="133"/>
    </row>
    <row r="233" spans="79:94" ht="14.1" hidden="1" customHeight="1">
      <c r="CA233" s="127"/>
      <c r="CB233" s="127"/>
      <c r="CC233" s="127"/>
      <c r="CF233" s="133"/>
      <c r="CG233" s="133"/>
      <c r="CH233" s="132"/>
      <c r="CI233" s="132"/>
      <c r="CJ233" s="133"/>
      <c r="CK233" s="133"/>
      <c r="CL233" s="133"/>
      <c r="CM233" s="133"/>
      <c r="CN233" s="133"/>
      <c r="CO233" s="133"/>
      <c r="CP233" s="133"/>
    </row>
    <row r="234" spans="79:94" ht="14.1" hidden="1" customHeight="1">
      <c r="CA234" s="127"/>
      <c r="CB234" s="127"/>
      <c r="CC234" s="127"/>
      <c r="CF234" s="133"/>
      <c r="CG234" s="133"/>
      <c r="CH234" s="132"/>
      <c r="CI234" s="132"/>
      <c r="CJ234" s="133"/>
      <c r="CK234" s="133"/>
      <c r="CL234" s="133"/>
      <c r="CM234" s="133"/>
      <c r="CN234" s="133"/>
      <c r="CO234" s="133"/>
      <c r="CP234" s="133"/>
    </row>
    <row r="235" spans="79:94" ht="14.1" hidden="1" customHeight="1">
      <c r="CA235" s="127"/>
      <c r="CB235" s="127"/>
      <c r="CC235" s="127"/>
      <c r="CF235" s="133"/>
      <c r="CG235" s="133"/>
      <c r="CH235" s="132"/>
      <c r="CI235" s="132"/>
      <c r="CJ235" s="133"/>
      <c r="CK235" s="133"/>
      <c r="CL235" s="133"/>
      <c r="CM235" s="133"/>
      <c r="CN235" s="133"/>
      <c r="CO235" s="133"/>
      <c r="CP235" s="133"/>
    </row>
    <row r="236" spans="79:94" ht="14.1" hidden="1" customHeight="1">
      <c r="CA236" s="127"/>
      <c r="CB236" s="127"/>
      <c r="CC236" s="127"/>
      <c r="CF236" s="133"/>
      <c r="CG236" s="133"/>
      <c r="CH236" s="132"/>
      <c r="CI236" s="132"/>
      <c r="CJ236" s="133"/>
      <c r="CK236" s="133"/>
      <c r="CL236" s="133"/>
      <c r="CM236" s="133"/>
      <c r="CN236" s="133"/>
      <c r="CO236" s="133"/>
      <c r="CP236" s="133"/>
    </row>
    <row r="237" spans="79:94" ht="14.1" hidden="1" customHeight="1">
      <c r="CA237" s="127"/>
      <c r="CB237" s="127"/>
      <c r="CC237" s="127"/>
      <c r="CF237" s="133"/>
      <c r="CG237" s="133"/>
      <c r="CH237" s="132"/>
      <c r="CI237" s="132"/>
      <c r="CJ237" s="133"/>
      <c r="CK237" s="133"/>
      <c r="CL237" s="133"/>
      <c r="CM237" s="133"/>
      <c r="CN237" s="133"/>
      <c r="CO237" s="133"/>
      <c r="CP237" s="133"/>
    </row>
    <row r="238" spans="79:94" ht="14.1" hidden="1" customHeight="1">
      <c r="CA238" s="127"/>
      <c r="CB238" s="127"/>
      <c r="CC238" s="127"/>
      <c r="CF238" s="133"/>
      <c r="CG238" s="133"/>
      <c r="CH238" s="132"/>
      <c r="CI238" s="132"/>
      <c r="CJ238" s="133"/>
      <c r="CK238" s="133"/>
      <c r="CL238" s="133"/>
      <c r="CM238" s="133"/>
      <c r="CN238" s="133"/>
      <c r="CO238" s="133"/>
      <c r="CP238" s="133"/>
    </row>
    <row r="239" spans="79:94" ht="14.1" hidden="1" customHeight="1">
      <c r="CA239" s="127"/>
      <c r="CB239" s="127"/>
      <c r="CC239" s="127"/>
      <c r="CF239" s="133"/>
      <c r="CG239" s="133"/>
      <c r="CH239" s="132"/>
      <c r="CI239" s="132"/>
      <c r="CJ239" s="133"/>
      <c r="CK239" s="133"/>
      <c r="CL239" s="133"/>
      <c r="CM239" s="133"/>
      <c r="CN239" s="133"/>
      <c r="CO239" s="133"/>
      <c r="CP239" s="133"/>
    </row>
    <row r="240" spans="79:94" ht="14.1" hidden="1" customHeight="1">
      <c r="CA240" s="127"/>
      <c r="CB240" s="127"/>
      <c r="CC240" s="127"/>
      <c r="CF240" s="133"/>
      <c r="CG240" s="133"/>
      <c r="CH240" s="132"/>
      <c r="CI240" s="132"/>
      <c r="CJ240" s="133"/>
      <c r="CK240" s="133"/>
      <c r="CL240" s="133"/>
      <c r="CM240" s="133"/>
      <c r="CN240" s="133"/>
      <c r="CO240" s="133"/>
      <c r="CP240" s="133"/>
    </row>
    <row r="241" spans="79:94" ht="14.1" hidden="1" customHeight="1">
      <c r="CA241" s="127"/>
      <c r="CB241" s="127"/>
      <c r="CC241" s="127"/>
      <c r="CF241" s="133"/>
      <c r="CG241" s="133"/>
      <c r="CH241" s="132"/>
      <c r="CI241" s="132"/>
      <c r="CJ241" s="133"/>
      <c r="CK241" s="133"/>
      <c r="CL241" s="133"/>
      <c r="CM241" s="133"/>
      <c r="CN241" s="133"/>
      <c r="CO241" s="133"/>
      <c r="CP241" s="133"/>
    </row>
    <row r="242" spans="79:94" ht="14.1" hidden="1" customHeight="1">
      <c r="CA242" s="127"/>
      <c r="CB242" s="127"/>
      <c r="CC242" s="127"/>
      <c r="CF242" s="133"/>
      <c r="CG242" s="133"/>
      <c r="CH242" s="132"/>
      <c r="CI242" s="132"/>
      <c r="CJ242" s="133"/>
      <c r="CK242" s="133"/>
      <c r="CL242" s="133"/>
      <c r="CM242" s="133"/>
      <c r="CN242" s="133"/>
      <c r="CO242" s="133"/>
      <c r="CP242" s="133"/>
    </row>
    <row r="243" spans="79:94" ht="14.1" hidden="1" customHeight="1">
      <c r="CA243" s="127"/>
      <c r="CB243" s="127"/>
      <c r="CC243" s="127"/>
      <c r="CF243" s="133"/>
      <c r="CG243" s="133"/>
      <c r="CH243" s="132"/>
      <c r="CI243" s="132"/>
      <c r="CJ243" s="133"/>
      <c r="CK243" s="133"/>
      <c r="CL243" s="133"/>
      <c r="CM243" s="133"/>
      <c r="CN243" s="133"/>
      <c r="CO243" s="133"/>
      <c r="CP243" s="133"/>
    </row>
    <row r="244" spans="79:94" ht="14.1" hidden="1" customHeight="1">
      <c r="CA244" s="127"/>
      <c r="CB244" s="127"/>
      <c r="CC244" s="127"/>
      <c r="CF244" s="133"/>
      <c r="CG244" s="133"/>
      <c r="CH244" s="132"/>
      <c r="CI244" s="132"/>
      <c r="CJ244" s="133"/>
      <c r="CK244" s="133"/>
      <c r="CL244" s="133"/>
      <c r="CM244" s="133"/>
      <c r="CN244" s="133"/>
      <c r="CO244" s="133"/>
      <c r="CP244" s="133"/>
    </row>
    <row r="245" spans="79:94" ht="14.1" hidden="1" customHeight="1">
      <c r="CA245" s="127"/>
      <c r="CB245" s="127"/>
      <c r="CC245" s="127"/>
      <c r="CF245" s="133"/>
      <c r="CG245" s="133"/>
      <c r="CH245" s="132"/>
      <c r="CI245" s="132"/>
      <c r="CJ245" s="133"/>
      <c r="CK245" s="133"/>
      <c r="CL245" s="133"/>
      <c r="CM245" s="133"/>
      <c r="CN245" s="133"/>
      <c r="CO245" s="133"/>
      <c r="CP245" s="133"/>
    </row>
    <row r="246" spans="79:94" ht="14.1" hidden="1" customHeight="1">
      <c r="CA246" s="127"/>
      <c r="CB246" s="127"/>
      <c r="CC246" s="127"/>
      <c r="CF246" s="133"/>
      <c r="CG246" s="133"/>
      <c r="CH246" s="132"/>
      <c r="CI246" s="132"/>
      <c r="CJ246" s="133"/>
      <c r="CK246" s="133"/>
      <c r="CL246" s="133"/>
      <c r="CM246" s="133"/>
      <c r="CN246" s="133"/>
      <c r="CO246" s="133"/>
      <c r="CP246" s="133"/>
    </row>
    <row r="247" spans="79:94" ht="14.1" hidden="1" customHeight="1">
      <c r="CA247" s="127"/>
      <c r="CB247" s="127"/>
      <c r="CC247" s="127"/>
      <c r="CF247" s="133"/>
      <c r="CG247" s="133"/>
      <c r="CH247" s="132"/>
      <c r="CI247" s="132"/>
      <c r="CJ247" s="133"/>
      <c r="CK247" s="133"/>
      <c r="CL247" s="133"/>
      <c r="CM247" s="133"/>
      <c r="CN247" s="133"/>
      <c r="CO247" s="133"/>
      <c r="CP247" s="133"/>
    </row>
    <row r="248" spans="79:94" ht="14.1" hidden="1" customHeight="1">
      <c r="CA248" s="127"/>
      <c r="CB248" s="127"/>
      <c r="CC248" s="127"/>
      <c r="CF248" s="133"/>
      <c r="CG248" s="133"/>
      <c r="CH248" s="132"/>
      <c r="CI248" s="132"/>
      <c r="CJ248" s="133"/>
      <c r="CK248" s="133"/>
      <c r="CL248" s="133"/>
      <c r="CM248" s="133"/>
      <c r="CN248" s="133"/>
      <c r="CO248" s="133"/>
      <c r="CP248" s="133"/>
    </row>
    <row r="249" spans="79:94" ht="14.1" hidden="1" customHeight="1">
      <c r="CA249" s="127"/>
      <c r="CB249" s="127"/>
      <c r="CC249" s="127"/>
      <c r="CF249" s="133"/>
      <c r="CG249" s="133"/>
      <c r="CH249" s="132"/>
      <c r="CI249" s="132"/>
      <c r="CJ249" s="133"/>
      <c r="CK249" s="133"/>
      <c r="CL249" s="133"/>
      <c r="CM249" s="133"/>
      <c r="CN249" s="133"/>
      <c r="CO249" s="133"/>
      <c r="CP249" s="133"/>
    </row>
    <row r="250" spans="79:94" ht="14.1" hidden="1" customHeight="1">
      <c r="CA250" s="127"/>
      <c r="CB250" s="127"/>
      <c r="CC250" s="127"/>
      <c r="CF250" s="133"/>
      <c r="CG250" s="133"/>
      <c r="CH250" s="132"/>
      <c r="CI250" s="132"/>
      <c r="CJ250" s="133"/>
      <c r="CK250" s="133"/>
      <c r="CL250" s="133"/>
      <c r="CM250" s="133"/>
      <c r="CN250" s="133"/>
      <c r="CO250" s="133"/>
      <c r="CP250" s="133"/>
    </row>
    <row r="251" spans="79:94" ht="14.1" hidden="1" customHeight="1">
      <c r="CA251" s="127"/>
      <c r="CB251" s="127"/>
      <c r="CC251" s="127"/>
      <c r="CF251" s="133"/>
      <c r="CG251" s="133"/>
      <c r="CH251" s="132"/>
      <c r="CI251" s="132"/>
      <c r="CJ251" s="133"/>
      <c r="CK251" s="133"/>
      <c r="CL251" s="133"/>
      <c r="CM251" s="133"/>
      <c r="CN251" s="133"/>
      <c r="CO251" s="133"/>
      <c r="CP251" s="133"/>
    </row>
    <row r="252" spans="79:94" ht="14.1" hidden="1" customHeight="1">
      <c r="CA252" s="127"/>
      <c r="CB252" s="127"/>
      <c r="CC252" s="127"/>
      <c r="CF252" s="133"/>
      <c r="CG252" s="133"/>
      <c r="CH252" s="132"/>
      <c r="CI252" s="132"/>
      <c r="CJ252" s="133"/>
      <c r="CK252" s="133"/>
      <c r="CL252" s="133"/>
      <c r="CM252" s="133"/>
      <c r="CN252" s="133"/>
      <c r="CO252" s="133"/>
      <c r="CP252" s="133"/>
    </row>
    <row r="253" spans="79:94" ht="14.1" hidden="1" customHeight="1">
      <c r="CA253" s="127"/>
      <c r="CB253" s="127"/>
      <c r="CC253" s="127"/>
      <c r="CF253" s="133"/>
      <c r="CG253" s="133"/>
      <c r="CH253" s="132"/>
      <c r="CI253" s="132"/>
      <c r="CJ253" s="133"/>
      <c r="CK253" s="133"/>
      <c r="CL253" s="133"/>
      <c r="CM253" s="133"/>
      <c r="CN253" s="133"/>
      <c r="CO253" s="133"/>
      <c r="CP253" s="133"/>
    </row>
    <row r="254" spans="79:94" ht="14.1" hidden="1" customHeight="1">
      <c r="CA254" s="127"/>
      <c r="CB254" s="127"/>
      <c r="CC254" s="127"/>
      <c r="CF254" s="133"/>
      <c r="CG254" s="133"/>
      <c r="CH254" s="132"/>
      <c r="CI254" s="132"/>
      <c r="CJ254" s="133"/>
      <c r="CK254" s="133"/>
      <c r="CL254" s="133"/>
      <c r="CM254" s="133"/>
      <c r="CN254" s="133"/>
      <c r="CO254" s="133"/>
      <c r="CP254" s="133"/>
    </row>
    <row r="255" spans="79:94" ht="14.1" hidden="1" customHeight="1">
      <c r="CA255" s="127"/>
      <c r="CB255" s="127"/>
      <c r="CC255" s="127"/>
      <c r="CF255" s="133"/>
      <c r="CG255" s="133"/>
      <c r="CH255" s="132"/>
      <c r="CI255" s="132"/>
      <c r="CJ255" s="133"/>
      <c r="CK255" s="133"/>
      <c r="CL255" s="133"/>
      <c r="CM255" s="133"/>
      <c r="CN255" s="133"/>
      <c r="CO255" s="133"/>
      <c r="CP255" s="133"/>
    </row>
    <row r="256" spans="79:94" ht="14.1" hidden="1" customHeight="1">
      <c r="CA256" s="127"/>
      <c r="CB256" s="127"/>
      <c r="CC256" s="127"/>
      <c r="CF256" s="133"/>
      <c r="CG256" s="133"/>
      <c r="CH256" s="132"/>
      <c r="CI256" s="132"/>
      <c r="CJ256" s="133"/>
      <c r="CK256" s="133"/>
      <c r="CL256" s="133"/>
      <c r="CM256" s="133"/>
      <c r="CN256" s="133"/>
      <c r="CO256" s="133"/>
      <c r="CP256" s="133"/>
    </row>
    <row r="257" spans="79:94" ht="14.1" hidden="1" customHeight="1">
      <c r="CA257" s="127"/>
      <c r="CB257" s="127"/>
      <c r="CC257" s="127"/>
      <c r="CF257" s="133"/>
      <c r="CG257" s="133"/>
      <c r="CH257" s="132"/>
      <c r="CI257" s="132"/>
      <c r="CJ257" s="133"/>
      <c r="CK257" s="133"/>
      <c r="CL257" s="133"/>
      <c r="CM257" s="133"/>
      <c r="CN257" s="133"/>
      <c r="CO257" s="133"/>
      <c r="CP257" s="133"/>
    </row>
    <row r="258" spans="79:94" ht="14.1" hidden="1" customHeight="1">
      <c r="CA258" s="127"/>
      <c r="CB258" s="127"/>
      <c r="CC258" s="127"/>
      <c r="CF258" s="133"/>
      <c r="CG258" s="133"/>
      <c r="CH258" s="132"/>
      <c r="CI258" s="132"/>
      <c r="CJ258" s="133"/>
      <c r="CK258" s="133"/>
      <c r="CL258" s="133"/>
      <c r="CM258" s="133"/>
      <c r="CN258" s="133"/>
      <c r="CO258" s="133"/>
      <c r="CP258" s="133"/>
    </row>
    <row r="259" spans="79:94" ht="14.1" hidden="1" customHeight="1">
      <c r="CA259" s="127"/>
      <c r="CB259" s="127"/>
      <c r="CC259" s="127"/>
      <c r="CF259" s="133"/>
      <c r="CG259" s="133"/>
      <c r="CH259" s="132"/>
      <c r="CI259" s="132"/>
      <c r="CJ259" s="133"/>
      <c r="CK259" s="133"/>
      <c r="CL259" s="133"/>
      <c r="CM259" s="133"/>
      <c r="CN259" s="133"/>
      <c r="CO259" s="133"/>
      <c r="CP259" s="133"/>
    </row>
    <row r="260" spans="79:94" ht="14.1" hidden="1" customHeight="1">
      <c r="CA260" s="127"/>
      <c r="CB260" s="127"/>
      <c r="CC260" s="127"/>
      <c r="CF260" s="133"/>
      <c r="CG260" s="133"/>
      <c r="CH260" s="132"/>
      <c r="CI260" s="132"/>
      <c r="CJ260" s="133"/>
      <c r="CK260" s="133"/>
      <c r="CL260" s="133"/>
      <c r="CM260" s="133"/>
      <c r="CN260" s="133"/>
      <c r="CO260" s="133"/>
      <c r="CP260" s="133"/>
    </row>
    <row r="261" spans="79:94" ht="14.1" hidden="1" customHeight="1">
      <c r="CA261" s="127"/>
      <c r="CB261" s="127"/>
      <c r="CC261" s="127"/>
      <c r="CF261" s="133"/>
      <c r="CG261" s="133"/>
      <c r="CH261" s="132"/>
      <c r="CI261" s="132"/>
      <c r="CJ261" s="133"/>
      <c r="CK261" s="133"/>
      <c r="CL261" s="133"/>
      <c r="CM261" s="133"/>
      <c r="CN261" s="133"/>
      <c r="CO261" s="133"/>
      <c r="CP261" s="133"/>
    </row>
    <row r="262" spans="79:94" ht="14.1" hidden="1" customHeight="1">
      <c r="CA262" s="127"/>
      <c r="CB262" s="127"/>
      <c r="CC262" s="127"/>
      <c r="CF262" s="133"/>
      <c r="CG262" s="133"/>
      <c r="CH262" s="132"/>
      <c r="CI262" s="132"/>
      <c r="CJ262" s="133"/>
      <c r="CK262" s="133"/>
      <c r="CL262" s="133"/>
      <c r="CM262" s="133"/>
      <c r="CN262" s="133"/>
      <c r="CO262" s="133"/>
      <c r="CP262" s="133"/>
    </row>
    <row r="263" spans="79:94" ht="14.1" hidden="1" customHeight="1">
      <c r="CA263" s="127"/>
      <c r="CB263" s="127"/>
      <c r="CC263" s="127"/>
      <c r="CF263" s="133"/>
      <c r="CG263" s="133"/>
      <c r="CH263" s="132"/>
      <c r="CI263" s="132"/>
      <c r="CJ263" s="133"/>
      <c r="CK263" s="133"/>
      <c r="CL263" s="133"/>
      <c r="CM263" s="133"/>
      <c r="CN263" s="133"/>
      <c r="CO263" s="133"/>
      <c r="CP263" s="133"/>
    </row>
    <row r="264" spans="79:94" ht="14.1" hidden="1" customHeight="1">
      <c r="CA264" s="127"/>
      <c r="CB264" s="127"/>
      <c r="CC264" s="127"/>
      <c r="CF264" s="133"/>
      <c r="CG264" s="133"/>
      <c r="CH264" s="132"/>
      <c r="CI264" s="132"/>
      <c r="CJ264" s="133"/>
      <c r="CK264" s="133"/>
      <c r="CL264" s="133"/>
      <c r="CM264" s="133"/>
      <c r="CN264" s="133"/>
      <c r="CO264" s="133"/>
      <c r="CP264" s="133"/>
    </row>
    <row r="265" spans="79:94" ht="14.1" hidden="1" customHeight="1">
      <c r="CA265" s="127"/>
      <c r="CB265" s="127"/>
      <c r="CC265" s="127"/>
      <c r="CF265" s="133"/>
      <c r="CG265" s="133"/>
      <c r="CH265" s="132"/>
      <c r="CI265" s="132"/>
      <c r="CJ265" s="133"/>
      <c r="CK265" s="133"/>
      <c r="CL265" s="133"/>
      <c r="CM265" s="133"/>
      <c r="CN265" s="133"/>
      <c r="CO265" s="133"/>
      <c r="CP265" s="133"/>
    </row>
    <row r="266" spans="79:94" ht="14.1" hidden="1" customHeight="1">
      <c r="CA266" s="127"/>
      <c r="CB266" s="127"/>
      <c r="CC266" s="127"/>
      <c r="CF266" s="133"/>
      <c r="CG266" s="133"/>
      <c r="CH266" s="132"/>
      <c r="CI266" s="132"/>
      <c r="CJ266" s="133"/>
      <c r="CK266" s="133"/>
      <c r="CL266" s="133"/>
      <c r="CM266" s="133"/>
      <c r="CN266" s="133"/>
      <c r="CO266" s="133"/>
      <c r="CP266" s="133"/>
    </row>
    <row r="267" spans="79:94" ht="14.1" hidden="1" customHeight="1">
      <c r="CA267" s="127"/>
      <c r="CB267" s="127"/>
      <c r="CC267" s="127"/>
      <c r="CF267" s="133"/>
      <c r="CG267" s="133"/>
      <c r="CH267" s="132"/>
      <c r="CI267" s="132"/>
      <c r="CJ267" s="133"/>
      <c r="CK267" s="133"/>
      <c r="CL267" s="133"/>
      <c r="CM267" s="133"/>
      <c r="CN267" s="133"/>
      <c r="CO267" s="133"/>
      <c r="CP267" s="133"/>
    </row>
    <row r="268" spans="79:94" ht="14.1" hidden="1" customHeight="1">
      <c r="CA268" s="127"/>
      <c r="CB268" s="127"/>
      <c r="CC268" s="127"/>
      <c r="CF268" s="133"/>
      <c r="CG268" s="133"/>
      <c r="CH268" s="132"/>
      <c r="CI268" s="132"/>
      <c r="CJ268" s="133"/>
      <c r="CK268" s="133"/>
      <c r="CL268" s="133"/>
      <c r="CM268" s="133"/>
      <c r="CN268" s="133"/>
      <c r="CO268" s="133"/>
      <c r="CP268" s="133"/>
    </row>
    <row r="269" spans="79:94" ht="14.1" hidden="1" customHeight="1">
      <c r="CA269" s="127"/>
      <c r="CB269" s="127"/>
      <c r="CC269" s="127"/>
      <c r="CF269" s="133"/>
      <c r="CG269" s="133"/>
      <c r="CH269" s="132"/>
      <c r="CI269" s="132"/>
      <c r="CJ269" s="133"/>
      <c r="CK269" s="133"/>
      <c r="CL269" s="133"/>
      <c r="CM269" s="133"/>
      <c r="CN269" s="133"/>
      <c r="CO269" s="133"/>
      <c r="CP269" s="133"/>
    </row>
    <row r="270" spans="79:94" ht="14.1" hidden="1" customHeight="1">
      <c r="CA270" s="127"/>
      <c r="CB270" s="127"/>
      <c r="CC270" s="127"/>
      <c r="CF270" s="133"/>
      <c r="CG270" s="133"/>
      <c r="CH270" s="132"/>
      <c r="CI270" s="132"/>
      <c r="CJ270" s="133"/>
      <c r="CK270" s="133"/>
      <c r="CL270" s="133"/>
      <c r="CM270" s="133"/>
      <c r="CN270" s="133"/>
      <c r="CO270" s="133"/>
      <c r="CP270" s="133"/>
    </row>
    <row r="271" spans="79:94" ht="14.1" hidden="1" customHeight="1">
      <c r="CA271" s="127"/>
      <c r="CB271" s="127"/>
      <c r="CC271" s="127"/>
      <c r="CF271" s="133"/>
      <c r="CG271" s="133"/>
      <c r="CH271" s="132"/>
      <c r="CI271" s="132"/>
      <c r="CJ271" s="133"/>
      <c r="CK271" s="133"/>
      <c r="CL271" s="133"/>
      <c r="CM271" s="133"/>
      <c r="CN271" s="133"/>
      <c r="CO271" s="133"/>
      <c r="CP271" s="133"/>
    </row>
    <row r="272" spans="79:94" ht="14.1" hidden="1" customHeight="1">
      <c r="CA272" s="127"/>
      <c r="CB272" s="127"/>
      <c r="CC272" s="127"/>
      <c r="CF272" s="133"/>
      <c r="CG272" s="133"/>
      <c r="CH272" s="132"/>
      <c r="CI272" s="132"/>
      <c r="CJ272" s="133"/>
      <c r="CK272" s="133"/>
      <c r="CL272" s="133"/>
      <c r="CM272" s="133"/>
      <c r="CN272" s="133"/>
      <c r="CO272" s="133"/>
      <c r="CP272" s="133"/>
    </row>
    <row r="273" spans="79:94" ht="14.1" hidden="1" customHeight="1">
      <c r="CA273" s="127"/>
      <c r="CB273" s="127"/>
      <c r="CC273" s="127"/>
      <c r="CF273" s="133"/>
      <c r="CG273" s="133"/>
      <c r="CH273" s="132"/>
      <c r="CI273" s="132"/>
      <c r="CJ273" s="133"/>
      <c r="CK273" s="133"/>
      <c r="CL273" s="133"/>
      <c r="CM273" s="133"/>
      <c r="CN273" s="133"/>
      <c r="CO273" s="133"/>
      <c r="CP273" s="133"/>
    </row>
    <row r="274" spans="79:94" ht="14.1" hidden="1" customHeight="1">
      <c r="CA274" s="127"/>
      <c r="CB274" s="127"/>
      <c r="CC274" s="127"/>
      <c r="CF274" s="133"/>
      <c r="CG274" s="133"/>
      <c r="CH274" s="132"/>
      <c r="CI274" s="132"/>
      <c r="CJ274" s="133"/>
      <c r="CK274" s="133"/>
      <c r="CL274" s="133"/>
      <c r="CM274" s="133"/>
      <c r="CN274" s="133"/>
      <c r="CO274" s="133"/>
      <c r="CP274" s="133"/>
    </row>
    <row r="275" spans="79:94" ht="14.1" hidden="1" customHeight="1">
      <c r="CA275" s="127"/>
      <c r="CB275" s="127"/>
      <c r="CC275" s="127"/>
      <c r="CF275" s="133"/>
      <c r="CG275" s="133"/>
      <c r="CH275" s="132"/>
      <c r="CI275" s="132"/>
      <c r="CJ275" s="133"/>
      <c r="CK275" s="133"/>
      <c r="CL275" s="133"/>
      <c r="CM275" s="133"/>
      <c r="CN275" s="133"/>
      <c r="CO275" s="133"/>
      <c r="CP275" s="133"/>
    </row>
    <row r="276" spans="79:94" ht="14.1" hidden="1" customHeight="1">
      <c r="CA276" s="127"/>
      <c r="CB276" s="127"/>
      <c r="CC276" s="127"/>
      <c r="CF276" s="133"/>
      <c r="CG276" s="133"/>
      <c r="CH276" s="132"/>
      <c r="CI276" s="132"/>
      <c r="CJ276" s="133"/>
      <c r="CK276" s="133"/>
      <c r="CL276" s="133"/>
      <c r="CM276" s="133"/>
      <c r="CN276" s="133"/>
      <c r="CO276" s="133"/>
      <c r="CP276" s="133"/>
    </row>
    <row r="277" spans="79:94" ht="14.1" hidden="1" customHeight="1">
      <c r="CA277" s="127"/>
      <c r="CB277" s="127"/>
      <c r="CC277" s="127"/>
      <c r="CF277" s="133"/>
      <c r="CG277" s="133"/>
      <c r="CH277" s="132"/>
      <c r="CI277" s="132"/>
      <c r="CJ277" s="133"/>
      <c r="CK277" s="133"/>
      <c r="CL277" s="133"/>
      <c r="CM277" s="133"/>
      <c r="CN277" s="133"/>
      <c r="CO277" s="133"/>
      <c r="CP277" s="133"/>
    </row>
    <row r="278" spans="79:94" ht="14.1" hidden="1" customHeight="1"/>
    <row r="279" spans="79:94" ht="14.1" hidden="1" customHeight="1"/>
    <row r="280" spans="79:94" ht="14.1" hidden="1" customHeight="1"/>
    <row r="281" spans="79:94" ht="14.1" hidden="1" customHeight="1"/>
    <row r="282" spans="79:94" ht="14.1" hidden="1" customHeight="1"/>
    <row r="283" spans="79:94" ht="14.1" hidden="1" customHeight="1"/>
    <row r="284" spans="79:94" ht="14.1" hidden="1" customHeight="1"/>
    <row r="285" spans="79:94" ht="14.1" hidden="1" customHeight="1"/>
    <row r="286" spans="79:94" ht="14.1" hidden="1" customHeight="1"/>
    <row r="287" spans="79:94" ht="14.1" hidden="1" customHeight="1"/>
    <row r="288" spans="79:94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</sheetData>
  <sheetProtection password="DC0A" sheet="1" objects="1" scenarios="1"/>
  <phoneticPr fontId="0" type="noConversion"/>
  <conditionalFormatting sqref="G19 G24 G21:G22">
    <cfRule type="expression" dxfId="195" priority="1" stopIfTrue="1">
      <formula>IF(CC19&gt;0,TRUE,FALSE)</formula>
    </cfRule>
  </conditionalFormatting>
  <conditionalFormatting sqref="N67:O68 I29:I48 B51:B70 I51:I70 C55:D56 C46:D47 C29:D29 C34:D35 C43:D44 C52:D53 C37:D38 C58:D59 C40:D41 C61:D62 C70:D70 B50:D50 C64:D65 C67:D68 H50:J50 C31:D32 H70 H34:H35 H29 H37:H38 H40:H41 H43:H44 H46:H47 H52:H53 H55:H56 H58:H59 H61:H62 H64:H65 H31:H32 H67:H68 J70 J34:J35 J29 J37:J38 J40:J41 J43:J44 J46:J47 J31:J32 J52:J53 J55:J56 J58:J59 J61:J62 J64:J65 J67:J68 P29:P48 P51:P70 N70:O70 N29:O29 N31:O32 N34:O35 N37:O38 N40:O41 N43:O44 N46:O47 B29:B47 N52:O53 N55:O56 N58:O59 N61:O62 N64:O65 N50:P50">
    <cfRule type="expression" dxfId="194" priority="2" stopIfTrue="1">
      <formula>IF($T29=0,TRUE,FALSE)</formula>
    </cfRule>
  </conditionalFormatting>
  <conditionalFormatting sqref="D5:D7">
    <cfRule type="expression" dxfId="193" priority="3" stopIfTrue="1">
      <formula>IF(CC7&gt;0,TRUE,FALSE)</formula>
    </cfRule>
  </conditionalFormatting>
  <conditionalFormatting sqref="D19 D24 D21:D22">
    <cfRule type="expression" dxfId="192" priority="4" stopIfTrue="1">
      <formula>IF(CC19&gt;0,TRUE,FALSE)</formula>
    </cfRule>
  </conditionalFormatting>
  <conditionalFormatting sqref="F19 F24 F21:F22">
    <cfRule type="expression" dxfId="191" priority="5" stopIfTrue="1">
      <formula>IF(CC19&gt;0,TRUE,FALSE)</formula>
    </cfRule>
  </conditionalFormatting>
  <conditionalFormatting sqref="B27">
    <cfRule type="expression" dxfId="190" priority="6" stopIfTrue="1">
      <formula>IF(BZ89&gt;0,TRUE,FALSE)</formula>
    </cfRule>
  </conditionalFormatting>
  <conditionalFormatting sqref="C27">
    <cfRule type="expression" dxfId="189" priority="7" stopIfTrue="1">
      <formula>IF(BZ89&gt;0,TRUE,FALSE)</formula>
    </cfRule>
  </conditionalFormatting>
  <conditionalFormatting sqref="F27">
    <cfRule type="expression" dxfId="188" priority="8" stopIfTrue="1">
      <formula>IF(BZ89&gt;0,TRUE,FALSE)</formula>
    </cfRule>
  </conditionalFormatting>
  <conditionalFormatting sqref="G27">
    <cfRule type="expression" dxfId="187" priority="9" stopIfTrue="1">
      <formula>IF(BZ89&gt;0,TRUE,FALSE)</formula>
    </cfRule>
  </conditionalFormatting>
  <conditionalFormatting sqref="H27">
    <cfRule type="expression" dxfId="186" priority="10" stopIfTrue="1">
      <formula>IF(BZ89&gt;0,TRUE,FALSE)</formula>
    </cfRule>
  </conditionalFormatting>
  <conditionalFormatting sqref="P27">
    <cfRule type="expression" dxfId="185" priority="11" stopIfTrue="1">
      <formula>IF($BZ$133&gt;0,TRUE,FALSE)</formula>
    </cfRule>
  </conditionalFormatting>
  <conditionalFormatting sqref="J27:O27">
    <cfRule type="expression" dxfId="184" priority="12" stopIfTrue="1">
      <formula>IF($BZ$133&gt;0,TRUE,FALSE)</formula>
    </cfRule>
  </conditionalFormatting>
  <conditionalFormatting sqref="C30:D30 C69:D69 C33:D33 H33 C42:D42 C45:D45 C36:D36 C51:D51 C54:D54 C39:D39 C60:D60 C63:D63 C48:D48 C57:D57 C66:D66 H69 H36 H39 H42 H45 H48 H51 H54 H57 H60 H63 H66 H30 J33 J36 J39 J42 J45 J48 J51 J54 J57 J60 J63 J66 J30 J69 N66:O66 N30:O30 N33:O33 N36:O36 N39:O39 N42:O42 N45:O45 N48:O48 N51:O51 N54:O54 N57:O57 N60:O60 N63:O63 N69:O69">
    <cfRule type="expression" dxfId="183" priority="13" stopIfTrue="1">
      <formula>IF($T30=0,TRUE,FALSE)</formula>
    </cfRule>
    <cfRule type="expression" dxfId="182" priority="14" stopIfTrue="1">
      <formula>IF($H$8="3D",TRUE,FALSE)</formula>
    </cfRule>
  </conditionalFormatting>
  <conditionalFormatting sqref="M28">
    <cfRule type="expression" dxfId="181" priority="15" stopIfTrue="1">
      <formula>IF($H$8="3Y",TRUE,FALSE)</formula>
    </cfRule>
  </conditionalFormatting>
  <conditionalFormatting sqref="D27">
    <cfRule type="expression" dxfId="180" priority="16" stopIfTrue="1">
      <formula>IF(BZ89&gt;0,TRUE,FALSE)</formula>
    </cfRule>
  </conditionalFormatting>
  <conditionalFormatting sqref="E27">
    <cfRule type="expression" dxfId="179" priority="17" stopIfTrue="1">
      <formula>IF(BZ89&gt;0,TRUE,FALSE)</formula>
    </cfRule>
  </conditionalFormatting>
  <conditionalFormatting sqref="EK60 EK78:EK99 EK57 EK54 EP88:EP115 EN116:EU116 EU88:EU99 GV88:GV99 GO116:GV116 GL88:GL99 GQ88:GQ115">
    <cfRule type="expression" dxfId="178" priority="18" stopIfTrue="1">
      <formula>IF($H$8=1,TRUE,FALSE)</formula>
    </cfRule>
  </conditionalFormatting>
  <conditionalFormatting sqref="EL54 EL57 EL60 EL78:EL99 EQ88:EQ115 EN117:EU117 EV88:EV99 GW88:GW99 GR88:GR115 GO117:GV117 GM88:GM99">
    <cfRule type="expression" dxfId="177" priority="19" stopIfTrue="1">
      <formula>IF($H$8="3Y",TRUE,FALSE)</formula>
    </cfRule>
  </conditionalFormatting>
  <conditionalFormatting sqref="EM78:EN99 ER88:ES115 EM54:EN54 EM57:EN57 EM60:EN60 EN118:EU119 EW88:EX99 GO118:GV119 GS88:GT115 GX88:GY99">
    <cfRule type="expression" dxfId="176" priority="20" stopIfTrue="1">
      <formula>IF($H$8="3D",TRUE,FALSE)</formula>
    </cfRule>
  </conditionalFormatting>
  <conditionalFormatting sqref="E29 E31:E32 E34:E35 E37:E38 E40:E41 E43:E44 E46:E47 E49:E50 E52:E53 E55:E56 E58:E59 E61:E62 E64:E65 E67:E68 E70">
    <cfRule type="expression" dxfId="175" priority="21" stopIfTrue="1">
      <formula>IF($T29=0,TRUE,FALSE)</formula>
    </cfRule>
    <cfRule type="expression" dxfId="174" priority="22" stopIfTrue="1">
      <formula>IF($H$11&lt;&gt;"AUTO",TRUE,FALSE)</formula>
    </cfRule>
    <cfRule type="expression" dxfId="173" priority="23" stopIfTrue="1">
      <formula>IF(CI46&gt;0,TRUE,FALSE)</formula>
    </cfRule>
  </conditionalFormatting>
  <conditionalFormatting sqref="E30 E33 E36 E39 E42 E45 E48 E51 E54 E57 E60 E63 E66 E69">
    <cfRule type="expression" dxfId="172" priority="24" stopIfTrue="1">
      <formula>IF($T30=0,TRUE,IF($H$11&lt;&gt;"AUTO",TRUE,FALSE))</formula>
    </cfRule>
    <cfRule type="expression" dxfId="171" priority="25" stopIfTrue="1">
      <formula>IF(CI47&gt;0,TRUE,FALSE)</formula>
    </cfRule>
    <cfRule type="expression" dxfId="170" priority="26" stopIfTrue="1">
      <formula>IF($H$8="3D",TRUE,FALSE)</formula>
    </cfRule>
  </conditionalFormatting>
  <conditionalFormatting sqref="M29 M31:M32 M34:M35 M37:M38 M40:M41 M43:M44 M46:M47 M49:M50 M52:M53 M55:M56 M58:M59 M61:M62 M64:M65 M67:M68 M70">
    <cfRule type="expression" dxfId="169" priority="27" stopIfTrue="1">
      <formula>IF($T29=0,TRUE,FALSE)</formula>
    </cfRule>
    <cfRule type="expression" dxfId="168" priority="28" stopIfTrue="1">
      <formula>IF($H$11&lt;&gt;"AUTO",TRUE,FALSE)</formula>
    </cfRule>
    <cfRule type="expression" dxfId="167" priority="29" stopIfTrue="1">
      <formula>IF(CI91&gt;0,TRUE,FALSE)</formula>
    </cfRule>
  </conditionalFormatting>
  <conditionalFormatting sqref="M30 M33 M36 M39 M42 M45 M48 M51 M54 M57 M60 M63 M66 M69">
    <cfRule type="expression" dxfId="166" priority="30" stopIfTrue="1">
      <formula>IF($T30=0,TRUE,IF($H$11&lt;&gt;"AUTO",TRUE,FALSE))</formula>
    </cfRule>
    <cfRule type="expression" dxfId="165" priority="31" stopIfTrue="1">
      <formula>IF(CI92&gt;0,TRUE,FALSE)</formula>
    </cfRule>
    <cfRule type="expression" dxfId="164" priority="32" stopIfTrue="1">
      <formula>IF($H$8="3D",TRUE,FALSE)</formula>
    </cfRule>
  </conditionalFormatting>
  <conditionalFormatting sqref="F29:F70">
    <cfRule type="expression" dxfId="163" priority="33" stopIfTrue="1">
      <formula>IF($T29=0,TRUE,FALSE)</formula>
    </cfRule>
    <cfRule type="expression" dxfId="162" priority="34" stopIfTrue="1">
      <formula>IF($H$8&lt;&gt;"3Y",TRUE,FALSE)</formula>
    </cfRule>
    <cfRule type="expression" dxfId="161" priority="35" stopIfTrue="1">
      <formula>IF(CF46&gt;0,TRUE,FALSE)</formula>
    </cfRule>
  </conditionalFormatting>
  <conditionalFormatting sqref="L29:L70">
    <cfRule type="expression" dxfId="160" priority="36" stopIfTrue="1">
      <formula>IF($T29=0,TRUE,FALSE)</formula>
    </cfRule>
    <cfRule type="expression" dxfId="159" priority="37" stopIfTrue="1">
      <formula>IF($H$8&lt;&gt;"3Y",TRUE,FALSE)</formula>
    </cfRule>
    <cfRule type="expression" dxfId="158" priority="38" stopIfTrue="1">
      <formula>IF(CF91&gt;0,TRUE,FALSE)</formula>
    </cfRule>
  </conditionalFormatting>
  <conditionalFormatting sqref="G29 G31:G32 G34:G35 G37:G38 G40:G41 G43:G44 G46:G47 G49:G50 G52:G53 G55:G56 G58:G59 G61:G62 G64:G65 G67:G68 G70">
    <cfRule type="expression" dxfId="157" priority="39" stopIfTrue="1">
      <formula>IF($T29=0,TRUE,FALSE)</formula>
    </cfRule>
    <cfRule type="expression" dxfId="156" priority="40" stopIfTrue="1">
      <formula>IF(CC46&gt;0,TRUE,FALSE)</formula>
    </cfRule>
  </conditionalFormatting>
  <conditionalFormatting sqref="G30 G33 G36 G39 G42 G45 G48 G51 G54 G57 G60 G63 G66 G69">
    <cfRule type="expression" dxfId="155" priority="41" stopIfTrue="1">
      <formula>IF($T30=0,TRUE,FALSE)</formula>
    </cfRule>
    <cfRule type="expression" dxfId="154" priority="42" stopIfTrue="1">
      <formula>IF(CC47&gt;0,TRUE,FALSE)</formula>
    </cfRule>
    <cfRule type="expression" dxfId="153" priority="43" stopIfTrue="1">
      <formula>IF($H$8="3D",TRUE,FALSE)</formula>
    </cfRule>
  </conditionalFormatting>
  <conditionalFormatting sqref="K29 K31:K32 K34:K35 K37:K38 K40:K41 K43:K44 K46:K47 K49:K50 K52:K53 K55:K56 K58:K59 K61:K62 K64:K65 K67:K68 K70">
    <cfRule type="expression" dxfId="152" priority="44" stopIfTrue="1">
      <formula>IF($T29=0,TRUE,FALSE)</formula>
    </cfRule>
    <cfRule type="expression" dxfId="151" priority="45" stopIfTrue="1">
      <formula>IF(CC91&gt;0,TRUE,FALSE)</formula>
    </cfRule>
  </conditionalFormatting>
  <conditionalFormatting sqref="K30 K33 K36 K39 K42 K45 K48 K51 K54 K57 K60 K63 K66 K69">
    <cfRule type="expression" dxfId="150" priority="46" stopIfTrue="1">
      <formula>IF($T30=0,TRUE,FALSE)</formula>
    </cfRule>
    <cfRule type="expression" dxfId="149" priority="47" stopIfTrue="1">
      <formula>IF(CC92&gt;0,TRUE,FALSE)</formula>
    </cfRule>
    <cfRule type="expression" dxfId="148" priority="48" stopIfTrue="1">
      <formula>IF($H$8="3D",TRUE,FALSE)</formula>
    </cfRule>
  </conditionalFormatting>
  <conditionalFormatting sqref="D3">
    <cfRule type="expression" dxfId="147" priority="49" stopIfTrue="1">
      <formula>IF(CC32&gt;0,TRUE,FALSE)</formula>
    </cfRule>
    <cfRule type="expression" dxfId="146" priority="50" stopIfTrue="1">
      <formula>IF(CC32=0,TRUE,FALSE)</formula>
    </cfRule>
  </conditionalFormatting>
  <conditionalFormatting sqref="H24 H21 H17">
    <cfRule type="expression" dxfId="145" priority="51" stopIfTrue="1">
      <formula>IF(CC17&gt;0,TRUE,FALSE)</formula>
    </cfRule>
  </conditionalFormatting>
  <conditionalFormatting sqref="D25">
    <cfRule type="expression" dxfId="144" priority="52" stopIfTrue="1">
      <formula>IF(CC26&gt;0,TRUE,FALSE)</formula>
    </cfRule>
  </conditionalFormatting>
  <conditionalFormatting sqref="H4">
    <cfRule type="expression" dxfId="143" priority="53" stopIfTrue="1">
      <formula>IF(D4=X12,FALSE,IF(D4=X13,FALSE,TRUE))</formula>
    </cfRule>
    <cfRule type="expression" dxfId="142" priority="54" stopIfTrue="1">
      <formula>IF(CC34&gt;0,TRUE,IF(XBZ31&gt;0,TRUE,FALSE))</formula>
    </cfRule>
  </conditionalFormatting>
  <conditionalFormatting sqref="D13:D14">
    <cfRule type="expression" dxfId="141" priority="55" stopIfTrue="1">
      <formula>IF(CC13&gt;0,TRUE,IF(CC35&gt;0,TRUE,FALSE))</formula>
    </cfRule>
  </conditionalFormatting>
  <conditionalFormatting sqref="F13:F14">
    <cfRule type="expression" dxfId="140" priority="56" stopIfTrue="1">
      <formula>IF(CC13&gt;0,TRUE,IF(CC35&gt;0,TRUE,FALSE))</formula>
    </cfRule>
  </conditionalFormatting>
  <conditionalFormatting sqref="G13:G14">
    <cfRule type="expression" dxfId="139" priority="57" stopIfTrue="1">
      <formula>IF(CC13&gt;0,TRUE,IF(CC35&gt;0,TRUE,FALSE))</formula>
    </cfRule>
  </conditionalFormatting>
  <conditionalFormatting sqref="J13:J14">
    <cfRule type="expression" dxfId="138" priority="58" stopIfTrue="1">
      <formula>IF(D$4=X$11,TRUE,FALSE)</formula>
    </cfRule>
    <cfRule type="expression" dxfId="137" priority="59" stopIfTrue="1">
      <formula>IF(CC35&gt;0,TRUE,FALSE)</formula>
    </cfRule>
  </conditionalFormatting>
  <conditionalFormatting sqref="D15">
    <cfRule type="expression" dxfId="136" priority="60" stopIfTrue="1">
      <formula>IF(CC15&gt;0,TRUE,IF(CC25&gt;0,TRUE,IF(CC37&gt;0,TRUE,IF(CC38&gt;0,TRUE,FALSE))))</formula>
    </cfRule>
  </conditionalFormatting>
  <conditionalFormatting sqref="J15">
    <cfRule type="expression" dxfId="135" priority="61" stopIfTrue="1">
      <formula>IF(D$4=X$11,TRUE,FALSE)</formula>
    </cfRule>
    <cfRule type="expression" dxfId="134" priority="62" stopIfTrue="1">
      <formula>IF(CC37&gt;0,TRUE,IF(CC38&gt;0,TRUE,FALSE))</formula>
    </cfRule>
  </conditionalFormatting>
  <conditionalFormatting sqref="D16:D18">
    <cfRule type="expression" dxfId="133" priority="63" stopIfTrue="1">
      <formula>IF(CC16&gt;0,TRUE,IF(CC39&gt;0,TRUE,FALSE))</formula>
    </cfRule>
  </conditionalFormatting>
  <conditionalFormatting sqref="F16:F18">
    <cfRule type="expression" dxfId="132" priority="64" stopIfTrue="1">
      <formula>IF(CC16&gt;0,TRUE,IF(CC39&gt;0,TRUE,FALSE))</formula>
    </cfRule>
  </conditionalFormatting>
  <conditionalFormatting sqref="G16:G18">
    <cfRule type="expression" dxfId="131" priority="65" stopIfTrue="1">
      <formula>IF(CC16&gt;0,TRUE,IF(CC39&gt;0,TRUE,FALSE))</formula>
    </cfRule>
  </conditionalFormatting>
  <conditionalFormatting sqref="J16:J18">
    <cfRule type="expression" dxfId="130" priority="66" stopIfTrue="1">
      <formula>IF(D$4=X$11,TRUE,FALSE)</formula>
    </cfRule>
    <cfRule type="expression" dxfId="129" priority="67" stopIfTrue="1">
      <formula>IF(CC39&gt;0,TRUE,FALSE)</formula>
    </cfRule>
  </conditionalFormatting>
  <conditionalFormatting sqref="O14">
    <cfRule type="expression" dxfId="128" priority="68" stopIfTrue="1">
      <formula>IF(H8=1,TRUE,FALSE)</formula>
    </cfRule>
  </conditionalFormatting>
  <conditionalFormatting sqref="J25">
    <cfRule type="expression" dxfId="127" priority="69" stopIfTrue="1">
      <formula>IF(D$4=X$11,TRUE,FALSE)</formula>
    </cfRule>
  </conditionalFormatting>
  <conditionalFormatting sqref="H26">
    <cfRule type="expression" dxfId="126" priority="70" stopIfTrue="1">
      <formula>IF(H24="N",TRUE,IF(CZ54&lt;&gt;CZ55,FALSE,TRUE))</formula>
    </cfRule>
  </conditionalFormatting>
  <conditionalFormatting sqref="E3:G3 I3">
    <cfRule type="expression" dxfId="125" priority="71" stopIfTrue="1">
      <formula>IF($CC$32&gt;0,TRUE,FALSE)</formula>
    </cfRule>
  </conditionalFormatting>
  <conditionalFormatting sqref="H3">
    <cfRule type="expression" dxfId="124" priority="72" stopIfTrue="1">
      <formula>IF($CC$32&gt;0,TRUE,FALSE)</formula>
    </cfRule>
  </conditionalFormatting>
  <conditionalFormatting sqref="E5 E7:E8">
    <cfRule type="expression" dxfId="123" priority="73" stopIfTrue="1">
      <formula>IF($CK$24=1,TRUE,IF($CK$25=1,TRUE,FALSE))</formula>
    </cfRule>
  </conditionalFormatting>
  <conditionalFormatting sqref="F5">
    <cfRule type="expression" dxfId="122" priority="74" stopIfTrue="1">
      <formula>IF(CK26&gt;0,TRUE,FALSE)</formula>
    </cfRule>
    <cfRule type="expression" dxfId="121" priority="75" stopIfTrue="1">
      <formula>IF(CC7&gt;0,TRUE,FALSE)</formula>
    </cfRule>
  </conditionalFormatting>
  <conditionalFormatting sqref="G5">
    <cfRule type="expression" dxfId="120" priority="76" stopIfTrue="1">
      <formula>IF(CK26&gt;0,TRUE,FALSE)</formula>
    </cfRule>
    <cfRule type="expression" dxfId="119" priority="77" stopIfTrue="1">
      <formula>IF(CC7&gt;0,TRUE,FALSE)</formula>
    </cfRule>
  </conditionalFormatting>
  <conditionalFormatting sqref="H5">
    <cfRule type="expression" dxfId="118" priority="78" stopIfTrue="1">
      <formula>IF(CK26&gt;0,FALSE,IF(CC7&gt;0,TRUE,FALSE))</formula>
    </cfRule>
  </conditionalFormatting>
  <conditionalFormatting sqref="D9">
    <cfRule type="expression" dxfId="117" priority="79" stopIfTrue="1">
      <formula>IF(CC10&gt;0,TRUE,FALSE)</formula>
    </cfRule>
  </conditionalFormatting>
  <conditionalFormatting sqref="H13">
    <cfRule type="expression" dxfId="116" priority="80" stopIfTrue="1">
      <formula>IF(CC13&gt;0,TRUE,FALSE)</formula>
    </cfRule>
    <cfRule type="expression" dxfId="115" priority="81" stopIfTrue="1">
      <formula>IF(H9&lt;&gt;"CONDUIT",TRUE,FALSE)</formula>
    </cfRule>
  </conditionalFormatting>
  <conditionalFormatting sqref="H14">
    <cfRule type="expression" dxfId="114" priority="82" stopIfTrue="1">
      <formula>IF(CC14&gt;0,TRUE,FALSE)</formula>
    </cfRule>
    <cfRule type="expression" dxfId="113" priority="83" stopIfTrue="1">
      <formula>IF(H9&lt;&gt;"CONDUIT",TRUE,FALSE)</formula>
    </cfRule>
  </conditionalFormatting>
  <conditionalFormatting sqref="H18">
    <cfRule type="expression" dxfId="112" priority="84" stopIfTrue="1">
      <formula>IF(CC18&gt;0,TRUE,FALSE)</formula>
    </cfRule>
    <cfRule type="expression" dxfId="111" priority="85" stopIfTrue="1">
      <formula>IF(H9&lt;&gt;"CONDUIT",TRUE,FALSE)</formula>
    </cfRule>
  </conditionalFormatting>
  <conditionalFormatting sqref="H16">
    <cfRule type="expression" dxfId="110" priority="86" stopIfTrue="1">
      <formula>IF(CC16&gt;0,TRUE,FALSE)</formula>
    </cfRule>
  </conditionalFormatting>
  <conditionalFormatting sqref="H8">
    <cfRule type="expression" dxfId="109" priority="87" stopIfTrue="1">
      <formula>IF(CC30=43,TRUE,FALSE)</formula>
    </cfRule>
    <cfRule type="expression" dxfId="108" priority="88" stopIfTrue="1">
      <formula>IF(CC30&gt;0,TRUE,FALSE)</formula>
    </cfRule>
  </conditionalFormatting>
  <conditionalFormatting sqref="K6:O6">
    <cfRule type="expression" dxfId="107" priority="89" stopIfTrue="1">
      <formula>IF($S$4="NONE",TRUE,FALSE)</formula>
    </cfRule>
  </conditionalFormatting>
  <conditionalFormatting sqref="B48 C49:D49 H49:J49 N49:O49">
    <cfRule type="expression" dxfId="106" priority="90" stopIfTrue="1">
      <formula>IF($T48=0,TRUE,FALSE)</formula>
    </cfRule>
  </conditionalFormatting>
  <conditionalFormatting sqref="B49 P49">
    <cfRule type="expression" dxfId="105" priority="91" stopIfTrue="1">
      <formula>IF($T49=0,TRUE,FALSE)</formula>
    </cfRule>
  </conditionalFormatting>
  <conditionalFormatting sqref="K3:P3">
    <cfRule type="expression" dxfId="104" priority="92" stopIfTrue="1">
      <formula>IF($CC$10=44,TRUE,FALSE)</formula>
    </cfRule>
  </conditionalFormatting>
  <conditionalFormatting sqref="D8">
    <cfRule type="expression" dxfId="103" priority="93" stopIfTrue="1">
      <formula>IF(CC10=44,TRUE,IF(CC30&gt;0,TRUE,FALSE))</formula>
    </cfRule>
  </conditionalFormatting>
  <conditionalFormatting sqref="H9">
    <cfRule type="expression" dxfId="102" priority="94" stopIfTrue="1">
      <formula>IF(CC10=4,TRUE,FALSE)</formula>
    </cfRule>
  </conditionalFormatting>
  <conditionalFormatting sqref="H15">
    <cfRule type="expression" dxfId="101" priority="95" stopIfTrue="1">
      <formula>IF(CC15=44,TRUE,FALSE)</formula>
    </cfRule>
    <cfRule type="expression" dxfId="100" priority="96" stopIfTrue="1">
      <formula>IF(OR(CC25&gt;0,CC15&gt;0),TRUE,FALSE)</formula>
    </cfRule>
    <cfRule type="expression" dxfId="99" priority="97" stopIfTrue="1">
      <formula>IF(CC25=0,TRUE,FALSE)</formula>
    </cfRule>
  </conditionalFormatting>
  <conditionalFormatting sqref="F8">
    <cfRule type="expression" dxfId="98" priority="98" stopIfTrue="1">
      <formula>IF($CC$30&gt;0,TRUE,IF(CC10=44,TRUE,FALSE))</formula>
    </cfRule>
  </conditionalFormatting>
  <conditionalFormatting sqref="G8">
    <cfRule type="expression" dxfId="97" priority="99" stopIfTrue="1">
      <formula>IF($CC$30&gt;0,TRUE,IF(CC10=44,TRUE,FALSE))</formula>
    </cfRule>
  </conditionalFormatting>
  <conditionalFormatting sqref="F9:G9">
    <cfRule type="expression" dxfId="96" priority="100" stopIfTrue="1">
      <formula>IF($CC$10&gt;0,TRUE,FALSE)</formula>
    </cfRule>
  </conditionalFormatting>
  <conditionalFormatting sqref="F15">
    <cfRule type="expression" dxfId="95" priority="101" stopIfTrue="1">
      <formula>IF(CC15&gt;0,TRUE,IF(CC25&gt;0,TRUE,IF(CC37&gt;0,TRUE,IF(CC38&gt;0,TRUE,FALSE))))</formula>
    </cfRule>
  </conditionalFormatting>
  <conditionalFormatting sqref="G15">
    <cfRule type="expression" dxfId="94" priority="102" stopIfTrue="1">
      <formula>IF(CC15&gt;0,TRUE,IF(CC25&gt;0,TRUE,IF(CC37&gt;0,TRUE,IF(CC38&gt;0,TRUE,FALSE))))</formula>
    </cfRule>
  </conditionalFormatting>
  <conditionalFormatting sqref="K4:P5">
    <cfRule type="expression" dxfId="93" priority="103" stopIfTrue="1">
      <formula>IF($S$4="NONE",TRUE,IF($S$5&gt;0,TRUE,FALSE))</formula>
    </cfRule>
  </conditionalFormatting>
  <conditionalFormatting sqref="H19">
    <cfRule type="expression" dxfId="92" priority="104" stopIfTrue="1">
      <formula>IF(CC19=43,TRUE,FALSE)</formula>
    </cfRule>
    <cfRule type="expression" dxfId="91" priority="105" stopIfTrue="1">
      <formula>IF(CC19&gt;0,TRUE,FALSE)</formula>
    </cfRule>
  </conditionalFormatting>
  <conditionalFormatting sqref="O7">
    <cfRule type="expression" dxfId="90" priority="106" stopIfTrue="1">
      <formula>IF(S6="NO",TRUE,FALSE)</formula>
    </cfRule>
  </conditionalFormatting>
  <dataValidations xWindow="366" yWindow="368" count="22">
    <dataValidation type="list" showInputMessage="1" showErrorMessage="1" errorTitle="Enter Wire Type" error="THW&#10;RHW&#10;THHN&#10;XHHW&#10;THW-CA&#10;THHN-CA&#10;XHHW-CA&#10;" prompt="Enter Wire Type&#10;" sqref="H14">
      <formula1>"THW,RHW,THHN,XHHW,THW-CA,THHN-CA,XHHW-CA"</formula1>
    </dataValidation>
    <dataValidation type="list" showInputMessage="1" showErrorMessage="1" error="Enter AL or CU" prompt="Enter CU or AL" sqref="H15">
      <formula1>"AL,CU"</formula1>
    </dataValidation>
    <dataValidation type="list" showInputMessage="1" showErrorMessage="1" error="Enter 60, 75 or 90" prompt="Enter &#10;Wire &#10;Temp" sqref="H16">
      <formula1>"60,75,90"</formula1>
    </dataValidation>
    <dataValidation type="custom" allowBlank="1" showInputMessage="1" showErrorMessage="1" error="Entry must be five (5) or larger" prompt="Enter&#10;Wire&#10;Length" sqref="H17">
      <formula1>IF(ISTEXT(H17)=TRUE,FALSE,IF(H17&lt;5,FALSE,TRUE))</formula1>
    </dataValidation>
    <dataValidation type="list" showInputMessage="1" showErrorMessage="1" errorTitle="Enter Conduit Type" error="RIGID&#10;EMT&#10;IMC&#10;PVC-40&#10;RIGID/PVC&#10;FLEX&#10;LT-FLEX" prompt="Enter&#10;Conduit&#10;Type" sqref="H18">
      <formula1>"RIGID,EMT,IMC,PVC-40,RIGID/PVC,FLEX,LT-FLEX"</formula1>
    </dataValidation>
    <dataValidation type="list" showInputMessage="1" showErrorMessage="1" error="Enter Y or N" prompt="Enter Y or N" sqref="H24 H13">
      <formula1>"Y,N"</formula1>
    </dataValidation>
    <dataValidation allowBlank="1" showErrorMessage="1" sqref="C29:D70 N29:O70"/>
    <dataValidation type="whole" showInputMessage="1" showErrorMessage="1" errorTitle="Enter VA" error="Must be a whole number&#10;between 0 - 999999" sqref="J29:J70 H29:H70">
      <formula1>0</formula1>
      <formula2>999999</formula2>
    </dataValidation>
    <dataValidation type="list" allowBlank="1" showInputMessage="1" showErrorMessage="1" error="Enter even number between 2 and 84" prompt="Enter even number between &#10;2 and 84" sqref="H5">
      <formula1>"2,4,6,8,10,12,14,16,18,20,22,24,26,28,30,32,34,36,38,40,42,44,46,48,50,52,54,56,58,60,62,64,66,68,70,72,74,76,78,80,82,84"</formula1>
    </dataValidation>
    <dataValidation type="whole" showInputMessage="1" showErrorMessage="1" error="Entry may not be less than zero&#10;or more than 84" prompt="Enter&#10;Number of&#10;Kitchen&#10;Circuits" sqref="H21">
      <formula1>0</formula1>
      <formula2>84</formula2>
    </dataValidation>
    <dataValidation type="list" allowBlank="1" showInputMessage="1" showErrorMessage="1" error="Select Phase " prompt="Select Phase&#10;1     Single Phase&#10;3Y   3-Phase Y&#10;3D   3-Phase Delta" sqref="H8">
      <formula1>"1,3Y"</formula1>
    </dataValidation>
    <dataValidation type="custom" showErrorMessage="1" errorTitle="Load Identifier" error="Enter&#10;H - Harmonic Load&#10;or SPACE for&#10;Non-Harmonic Load" sqref="F29:F70 L29:L70">
      <formula1>IF($H$8=1,TRUE,IF($H$8="3D",TRUE,IF(F29="H",TRUE,IF(F29=" ",TRUE,FALSE))))</formula1>
    </dataValidation>
    <dataValidation type="custom" showErrorMessage="1" errorTitle="Load Identifier" error="Enter&#10;C - Continous Load&#10;D - Receptacle Load*&#10;G - General Load&#10;K - Kitchen Load&#10;M - Motor Load&#10;&#10;* Receptacle loads may not be used when no Neutral Conductor is present." sqref="G29 G34:G35 G37:G38 G40:G41 G43:G44 G46:G47 G49:G50 G52:G53 G55:G56 G58:G59 G61:G62 G64:G65 G67:G68 K31:K32 G31:G32 K29 G70 K34:K35 K37:K38 K40:K41 K43:K44 K46:K47 K49:K50 K52:K53 K55:K56 K58:K59 K61:K62 K64:K65 K67:K68 K70">
      <formula1>IF(AND(G29="D",$H$11="NONE"),FALSE,IF(G29="G",TRUE,IF(G29="D",TRUE,IF(G29="C",TRUE,IF(G29="M",TRUE,IF(G29="K",TRUE,FALSE))))))</formula1>
    </dataValidation>
    <dataValidation type="custom" showErrorMessage="1" errorTitle="Load Identifier" error="Enter&#10;C - Continous Load&#10;D - Receptacle Load*&#10;G - General Load&#10;K - Kitchen Load&#10;M - Motor Load&#10;&#10;* Receptacle loads may not be used on 3-Phase Delta Power Leg or when no Neutral Conductor is present." sqref="G30 G33 G36 G39 G42 G45 G48 G51 G54 G57 G60 G63 G66 G69 K30 K33 K36 K39 K42 K45 K48 K51 K54 K57 K60 K63 K66 K69">
      <formula1>IF(AND(G30="D",$H$10="NONE"),FALSE,IF(G30="G",TRUE,IF(AND(G30="D",$H$8="3Y"),TRUE,IF(AND(G30="D",$H$8=1),TRUE,IF(G30="C",TRUE,IF(G30="M",TRUE,IF(G30="K",TRUE,FALSE)))))))</formula1>
    </dataValidation>
    <dataValidation type="custom" showErrorMessage="1" errorTitle="Line to Neutral Identifier" error="If this is a 1-Pole Breaker with Line to Neutral Load enter N&#10;&#10;Otherwise enter a Space&#10;&#10;NOTE: If this is a 3-Phase Delta Panel you must enter a Spcae" sqref="E69 E33 E36 E39 E42 E45 E48 E51 E54 E57 E60 E63 E66 E30">
      <formula1>IF(AND($H$10="AUTO",$H$8="3D",E30=" "),TRUE,IF(AND($H$10="AUTO",$H$8&lt;&gt;"3D",OR(E30=" ",E30="N")),TRUE,FALSE))</formula1>
    </dataValidation>
    <dataValidation type="custom" showErrorMessage="1" errorTitle="Line to Neutral Identifier" error="If this is a 1-Pole Breaker with Line to Neutral Load enter N&#10;&#10;Otherwise enter a Space" sqref="E29 E31:E32 E34:E35 E37:E38 E40:E41 E43:E44 E46:E47 E49:E50 E52:E53 E55:E56 E58:E59 E61:E62 E64:E65 E67:E68 E70">
      <formula1>IF(AND($H$11="AUTO",OR(E29="N",E29=" ")),TRUE,FALSE)</formula1>
    </dataValidation>
    <dataValidation type="custom" allowBlank="1" showInputMessage="1" showErrorMessage="1" errorTitle="Line to Neutral Identifier" error="If this is a 1-Pole Breaker with Line to Neutral Load enter N&#10;&#10;Otherwise enter a Space" sqref="M29 M31:M32 M34:M35 M37:M38 M40:M41 M43:M44 M46:M47 M49:M50 M52:M53 M55:M56 M58:M59 M61:M62 M64:M65 M67:M68 M70">
      <formula1>IF(AND($H$11="AUTO",OR(M29="N",M29=" ")),TRUE,FALSE)</formula1>
    </dataValidation>
    <dataValidation type="custom" allowBlank="1" showInputMessage="1" showErrorMessage="1" errorTitle="Line to Neutral Identifier" error="If this is a 1-Pole Breaker with Line to Neutral Load enter N&#10;&#10;Otherwise enter a Space&#10;&#10;NOTE: If this is a 3-Phase Delta Panel you must enter a Spcae" sqref="M30 M33 M36 M39 M42 M45 M48 M51 M54 M57 M60 M63 M66 M69">
      <formula1>IF(AND($H$10="AUTO",$H$8="3D",M30=" "),TRUE,IF(AND($H$10="AUTO",$H$8&lt;&gt;"3D",OR(M30=" ",M30="N")),TRUE,FALSE))</formula1>
    </dataValidation>
    <dataValidation allowBlank="1" showInputMessage="1" showErrorMessage="1" error="Enter Sub Panel Name" prompt="Enter Sub Panel Name" sqref="D3"/>
    <dataValidation type="whole" showInputMessage="1" showErrorMessage="1" error="Entry may not be less than zero&#10;or more than 400 amps." prompt="Enter&#10;Minimum&#10;Amps" sqref="H19">
      <formula1>0</formula1>
      <formula2>400</formula2>
    </dataValidation>
    <dataValidation type="whole" allowBlank="1" showInputMessage="1" showErrorMessage="1" error="Enter a whole number between 0 and 100" prompt="Enter&#10;% Factor" sqref="H22">
      <formula1>0</formula1>
      <formula2>100</formula2>
    </dataValidation>
    <dataValidation type="list" allowBlank="1" showInputMessage="1" showErrorMessage="1" error="Select Feeder Type" prompt="Select Feeder Type" sqref="H9">
      <formula1>"CONDUIT,SER,MC,ROMEX"</formula1>
    </dataValidation>
  </dataValidations>
  <pageMargins left="0.5" right="0" top="0.25" bottom="0" header="0" footer="0"/>
  <pageSetup scale="95" orientation="portrait" horizontalDpi="4294967292" r:id="rId1"/>
  <headerFooter alignWithMargins="0"/>
  <rowBreaks count="1" manualBreakCount="1">
    <brk id="56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K202"/>
  <sheetViews>
    <sheetView topLeftCell="C1" workbookViewId="0">
      <selection activeCell="J18" sqref="J18"/>
    </sheetView>
  </sheetViews>
  <sheetFormatPr defaultRowHeight="11.25"/>
  <cols>
    <col min="1" max="1" width="19.1640625" style="229" customWidth="1"/>
    <col min="2" max="2" width="9.33203125" style="230"/>
    <col min="3" max="3" width="9.33203125" style="229"/>
    <col min="4" max="4" width="19.6640625" style="229" customWidth="1"/>
    <col min="5" max="5" width="18.1640625" style="229" customWidth="1"/>
    <col min="6" max="6" width="15.83203125" style="229" customWidth="1"/>
    <col min="7" max="7" width="16" style="229" customWidth="1"/>
    <col min="8" max="9" width="16" style="230" customWidth="1"/>
    <col min="10" max="10" width="10.83203125" style="230" customWidth="1"/>
    <col min="11" max="11" width="7.33203125" style="230" customWidth="1"/>
    <col min="12" max="12" width="11.6640625" style="230" customWidth="1"/>
    <col min="13" max="13" width="16" style="229" customWidth="1"/>
    <col min="14" max="15" width="9.33203125" style="229"/>
    <col min="16" max="16" width="12.83203125" style="229" customWidth="1"/>
    <col min="17" max="17" width="9.33203125" style="229"/>
    <col min="18" max="19" width="3.83203125" style="229" customWidth="1"/>
    <col min="20" max="20" width="7.5" style="229" customWidth="1"/>
    <col min="21" max="21" width="7.83203125" style="229" customWidth="1"/>
    <col min="22" max="22" width="19.5" style="229" customWidth="1"/>
    <col min="23" max="24" width="18" style="229" customWidth="1"/>
    <col min="25" max="25" width="8.1640625" style="229" customWidth="1"/>
    <col min="26" max="26" width="8.5" style="229" customWidth="1"/>
    <col min="27" max="27" width="8.33203125" style="229" customWidth="1"/>
    <col min="28" max="29" width="11.6640625" style="229" customWidth="1"/>
    <col min="30" max="30" width="6.83203125" style="229" customWidth="1"/>
    <col min="31" max="16384" width="9.33203125" style="229"/>
  </cols>
  <sheetData>
    <row r="1" spans="1:35" s="166" customFormat="1">
      <c r="A1" s="229"/>
      <c r="B1" s="230"/>
      <c r="H1" s="167"/>
      <c r="I1" s="167"/>
      <c r="J1" s="167"/>
      <c r="K1" s="167"/>
      <c r="L1" s="16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35" s="166" customFormat="1">
      <c r="A2" s="229"/>
      <c r="B2" s="230"/>
      <c r="H2" s="167"/>
      <c r="I2" s="167"/>
      <c r="J2" s="167"/>
      <c r="K2" s="167"/>
      <c r="L2" s="16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35" s="166" customFormat="1">
      <c r="A3" s="229"/>
      <c r="B3" s="230"/>
      <c r="H3" s="167"/>
      <c r="I3" s="167"/>
      <c r="J3" s="167"/>
      <c r="K3" s="167"/>
      <c r="L3" s="167"/>
    </row>
    <row r="4" spans="1:35">
      <c r="C4" s="166"/>
      <c r="D4" s="166"/>
      <c r="E4" s="166"/>
      <c r="F4" s="166"/>
      <c r="G4" s="166"/>
      <c r="H4" s="167" t="s">
        <v>886</v>
      </c>
      <c r="I4" s="167" t="s">
        <v>68</v>
      </c>
      <c r="J4" s="167" t="s">
        <v>68</v>
      </c>
      <c r="K4" s="167" t="s">
        <v>34</v>
      </c>
      <c r="L4" s="167" t="s">
        <v>193</v>
      </c>
      <c r="M4" s="166"/>
      <c r="N4" s="166"/>
      <c r="S4" s="166" t="s">
        <v>954</v>
      </c>
      <c r="T4" s="166"/>
      <c r="U4" s="166"/>
      <c r="V4" s="166"/>
      <c r="W4" s="166"/>
      <c r="X4" s="166"/>
      <c r="Y4" s="166"/>
      <c r="Z4" s="166"/>
      <c r="AA4" s="166"/>
      <c r="AB4" s="166"/>
      <c r="AC4" s="166"/>
      <c r="AF4" s="166"/>
    </row>
    <row r="5" spans="1:35">
      <c r="C5" s="166"/>
      <c r="D5" s="166"/>
      <c r="E5" s="166"/>
      <c r="F5" s="166"/>
      <c r="G5" s="166"/>
      <c r="H5" s="167" t="s">
        <v>887</v>
      </c>
      <c r="I5" s="167" t="s">
        <v>179</v>
      </c>
      <c r="J5" s="167" t="s">
        <v>38</v>
      </c>
      <c r="K5" s="167" t="s">
        <v>38</v>
      </c>
      <c r="L5" s="167" t="s">
        <v>48</v>
      </c>
      <c r="M5" s="166"/>
      <c r="N5" s="166"/>
      <c r="S5" s="634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4"/>
      <c r="AF5" s="24" t="s">
        <v>72</v>
      </c>
      <c r="AG5" s="1"/>
      <c r="AH5" s="1"/>
      <c r="AI5" s="1"/>
    </row>
    <row r="6" spans="1:35">
      <c r="A6" s="166" t="s">
        <v>48</v>
      </c>
      <c r="B6" s="649">
        <f>'S-Input'!CY9</f>
        <v>0</v>
      </c>
      <c r="C6" s="166">
        <f>IF(AND(B8=3,B9="AL",B10="SER"),1,0)</f>
        <v>1</v>
      </c>
      <c r="D6" s="166" t="s">
        <v>957</v>
      </c>
      <c r="E6" s="166" t="str">
        <f>AA21</f>
        <v xml:space="preserve"> SER CABLE</v>
      </c>
      <c r="F6" s="166" t="str">
        <f>AA22</f>
        <v xml:space="preserve"> 3-#6 AL  </v>
      </c>
      <c r="G6" s="166" t="str">
        <f>AA23</f>
        <v xml:space="preserve"> 1-#6 GND</v>
      </c>
      <c r="H6" s="167">
        <f>AB19</f>
        <v>1482</v>
      </c>
      <c r="I6" s="167">
        <f>AC19</f>
        <v>0.80800000000000005</v>
      </c>
      <c r="J6" s="167" t="str">
        <f>W19</f>
        <v>#6</v>
      </c>
      <c r="K6" s="167" t="str">
        <f>X19</f>
        <v>#6</v>
      </c>
      <c r="L6" s="167">
        <f>Y19</f>
        <v>50</v>
      </c>
      <c r="M6" s="166" t="str">
        <f>V19</f>
        <v>6-6-6-6</v>
      </c>
      <c r="N6" s="166"/>
      <c r="P6" s="229" t="s">
        <v>48</v>
      </c>
      <c r="Q6" s="229">
        <f>B6</f>
        <v>0</v>
      </c>
      <c r="S6" s="170"/>
      <c r="T6" s="629" t="s">
        <v>875</v>
      </c>
      <c r="U6" s="629" t="s">
        <v>30</v>
      </c>
      <c r="V6" s="58" t="s">
        <v>68</v>
      </c>
      <c r="W6" s="58" t="s">
        <v>68</v>
      </c>
      <c r="X6" s="58" t="s">
        <v>34</v>
      </c>
      <c r="Y6" s="639" t="str">
        <f>IF($Q$7=60,AG6,IF($Q$7=75,AH6,IF($Q$7=90,AI6)))</f>
        <v>75 C</v>
      </c>
      <c r="Z6" s="58" t="s">
        <v>68</v>
      </c>
      <c r="AA6" s="629" t="s">
        <v>875</v>
      </c>
      <c r="AB6" s="58" t="s">
        <v>886</v>
      </c>
      <c r="AC6" s="58" t="s">
        <v>179</v>
      </c>
      <c r="AD6" s="169"/>
      <c r="AF6" s="58" t="s">
        <v>68</v>
      </c>
      <c r="AG6" s="58" t="s">
        <v>69</v>
      </c>
      <c r="AH6" s="58" t="s">
        <v>70</v>
      </c>
      <c r="AI6" s="58" t="s">
        <v>71</v>
      </c>
    </row>
    <row r="7" spans="1:35">
      <c r="A7" s="166" t="s">
        <v>18</v>
      </c>
      <c r="B7" s="649">
        <f>'S-Input'!H16</f>
        <v>75</v>
      </c>
      <c r="C7" s="229">
        <f>IF(AND(B8=3,B9="CU",B10="SER"),1,0)</f>
        <v>0</v>
      </c>
      <c r="D7" s="166" t="s">
        <v>958</v>
      </c>
      <c r="E7" s="229" t="str">
        <f>AA45</f>
        <v xml:space="preserve"> SER CABLE</v>
      </c>
      <c r="F7" s="229" t="str">
        <f>AA46</f>
        <v xml:space="preserve"> 3-#6 CU  </v>
      </c>
      <c r="G7" s="229" t="str">
        <f>AA47</f>
        <v xml:space="preserve"> 1-#6 GND</v>
      </c>
      <c r="H7" s="230">
        <f>AB43</f>
        <v>2433</v>
      </c>
      <c r="I7" s="230">
        <f>AC43</f>
        <v>0.49099999999999999</v>
      </c>
      <c r="J7" s="230" t="str">
        <f>W43</f>
        <v>#6</v>
      </c>
      <c r="K7" s="230" t="str">
        <f>X43</f>
        <v>#6</v>
      </c>
      <c r="L7" s="230">
        <f>Y43</f>
        <v>65</v>
      </c>
      <c r="M7" s="166" t="str">
        <f>V43</f>
        <v>6-6-6-6</v>
      </c>
      <c r="P7" s="229" t="s">
        <v>18</v>
      </c>
      <c r="Q7" s="229">
        <f>B7</f>
        <v>75</v>
      </c>
      <c r="S7" s="170"/>
      <c r="T7" s="631" t="s">
        <v>876</v>
      </c>
      <c r="U7" s="631"/>
      <c r="V7" s="62" t="s">
        <v>38</v>
      </c>
      <c r="W7" s="62" t="s">
        <v>38</v>
      </c>
      <c r="X7" s="62" t="s">
        <v>38</v>
      </c>
      <c r="Y7" s="62" t="s">
        <v>48</v>
      </c>
      <c r="Z7" s="62" t="s">
        <v>38</v>
      </c>
      <c r="AA7" s="631" t="s">
        <v>876</v>
      </c>
      <c r="AB7" s="62" t="s">
        <v>887</v>
      </c>
      <c r="AC7" s="62" t="s">
        <v>182</v>
      </c>
      <c r="AD7" s="169"/>
      <c r="AF7" s="62" t="s">
        <v>38</v>
      </c>
      <c r="AG7" s="62" t="s">
        <v>48</v>
      </c>
      <c r="AH7" s="62" t="s">
        <v>48</v>
      </c>
      <c r="AI7" s="62" t="s">
        <v>48</v>
      </c>
    </row>
    <row r="8" spans="1:35">
      <c r="A8" s="166" t="s">
        <v>952</v>
      </c>
      <c r="B8" s="652">
        <f>IF('S-Input'!H8=1,3,4)</f>
        <v>3</v>
      </c>
      <c r="C8" s="229">
        <f>IF(AND(B8=4,B9="AL",B10="SER"),1,0)</f>
        <v>0</v>
      </c>
      <c r="D8" s="229" t="s">
        <v>959</v>
      </c>
      <c r="E8" s="229" t="str">
        <f>AA71</f>
        <v xml:space="preserve"> SER CABLE</v>
      </c>
      <c r="F8" s="229" t="str">
        <f>AA72</f>
        <v xml:space="preserve"> 4-#6 AL  </v>
      </c>
      <c r="G8" s="229" t="str">
        <f>AA73</f>
        <v xml:space="preserve"> 1-#6 GND</v>
      </c>
      <c r="H8" s="230">
        <f>AB69</f>
        <v>1482</v>
      </c>
      <c r="I8" s="230">
        <f>AC69</f>
        <v>0.80800000000000005</v>
      </c>
      <c r="J8" s="230" t="str">
        <f>W69</f>
        <v>#6</v>
      </c>
      <c r="K8" s="230" t="str">
        <f>X69</f>
        <v>#6</v>
      </c>
      <c r="L8" s="230">
        <f>Y69</f>
        <v>50</v>
      </c>
      <c r="M8" s="166" t="str">
        <f>V69</f>
        <v>6-6-6-6-6</v>
      </c>
      <c r="S8" s="170"/>
      <c r="T8" s="633"/>
      <c r="U8" s="633"/>
      <c r="V8" s="62" t="s">
        <v>74</v>
      </c>
      <c r="W8" s="62"/>
      <c r="X8" s="62"/>
      <c r="Y8" s="62" t="s">
        <v>77</v>
      </c>
      <c r="Z8" s="62" t="s">
        <v>390</v>
      </c>
      <c r="AA8" s="633"/>
      <c r="AB8" s="57"/>
      <c r="AC8" s="57" t="s">
        <v>77</v>
      </c>
      <c r="AD8" s="169"/>
      <c r="AF8" s="62" t="s">
        <v>74</v>
      </c>
      <c r="AG8" s="62" t="s">
        <v>77</v>
      </c>
      <c r="AH8" s="62" t="s">
        <v>77</v>
      </c>
      <c r="AI8" s="62" t="s">
        <v>77</v>
      </c>
    </row>
    <row r="9" spans="1:35">
      <c r="A9" s="229" t="s">
        <v>953</v>
      </c>
      <c r="B9" s="650" t="str">
        <f>'S-Input'!H15</f>
        <v>AL</v>
      </c>
      <c r="C9" s="229">
        <f>IF(AND(B8=3,B9="CU",B10="ROMEX"),1,0)</f>
        <v>0</v>
      </c>
      <c r="D9" s="229" t="s">
        <v>947</v>
      </c>
      <c r="E9" s="229" t="str">
        <f>AA92</f>
        <v xml:space="preserve"> ROMEX</v>
      </c>
      <c r="F9" s="229" t="str">
        <f>AA93</f>
        <v xml:space="preserve"> 3-#6 CU  </v>
      </c>
      <c r="G9" s="229" t="str">
        <f>AA94</f>
        <v xml:space="preserve"> 1-#10 GND</v>
      </c>
      <c r="H9" s="230">
        <f>AB90</f>
        <v>2433</v>
      </c>
      <c r="I9" s="230">
        <f>AC90</f>
        <v>0.49099999999999999</v>
      </c>
      <c r="J9" s="230" t="str">
        <f>W90</f>
        <v>#6</v>
      </c>
      <c r="K9" s="230" t="str">
        <f>X90</f>
        <v>#10</v>
      </c>
      <c r="L9" s="230">
        <f>Y90</f>
        <v>65</v>
      </c>
      <c r="M9" s="166" t="str">
        <f>V90</f>
        <v>6-6-6-6</v>
      </c>
      <c r="S9" s="170"/>
      <c r="T9" s="629">
        <v>100</v>
      </c>
      <c r="U9" s="629">
        <v>0</v>
      </c>
      <c r="V9" s="628" t="s">
        <v>878</v>
      </c>
      <c r="W9" s="628" t="s">
        <v>76</v>
      </c>
      <c r="X9" s="628" t="s">
        <v>76</v>
      </c>
      <c r="Y9" s="639">
        <f t="shared" ref="Y9:Y16" si="0">IF($Q$7=60,AG9,IF($Q$7=75,AH9,IF($Q$7=90,AI9)))</f>
        <v>50</v>
      </c>
      <c r="Z9" s="629">
        <v>5</v>
      </c>
      <c r="AA9" s="629">
        <v>100</v>
      </c>
      <c r="AB9" s="629">
        <v>1482</v>
      </c>
      <c r="AC9" s="648">
        <v>0.80800000000000005</v>
      </c>
      <c r="AD9" s="169"/>
      <c r="AF9" s="58" t="s">
        <v>76</v>
      </c>
      <c r="AG9" s="58">
        <v>40</v>
      </c>
      <c r="AH9" s="58">
        <v>50</v>
      </c>
      <c r="AI9" s="58">
        <v>60</v>
      </c>
    </row>
    <row r="10" spans="1:35">
      <c r="A10" s="229" t="s">
        <v>873</v>
      </c>
      <c r="B10" s="651" t="str">
        <f>'S-Input'!H9</f>
        <v>SER</v>
      </c>
      <c r="C10" s="229">
        <f>IF(AND(B8=3,B9="AL",B10="MC"),1,0)</f>
        <v>0</v>
      </c>
      <c r="D10" s="229" t="s">
        <v>948</v>
      </c>
      <c r="E10" s="229" t="str">
        <f>AA119</f>
        <v xml:space="preserve"> MC CABLE</v>
      </c>
      <c r="F10" s="229" t="str">
        <f>AA120</f>
        <v xml:space="preserve"> 3-#6 AL  </v>
      </c>
      <c r="G10" s="229" t="str">
        <f>AA121</f>
        <v xml:space="preserve"> 1-#6 GND</v>
      </c>
      <c r="H10" s="230">
        <f>AB117</f>
        <v>1482</v>
      </c>
      <c r="I10" s="230">
        <f>AC117</f>
        <v>0.80800000000000005</v>
      </c>
      <c r="J10" s="230" t="str">
        <f>W117</f>
        <v>#6</v>
      </c>
      <c r="K10" s="230" t="str">
        <f>X117</f>
        <v>#6</v>
      </c>
      <c r="L10" s="230">
        <f>Y117</f>
        <v>50</v>
      </c>
      <c r="M10" s="166" t="str">
        <f>V117</f>
        <v>6-6-6-6</v>
      </c>
      <c r="S10" s="170"/>
      <c r="T10" s="631">
        <v>101</v>
      </c>
      <c r="U10" s="631">
        <f t="shared" ref="U10:U17" si="1">Y9+0.0000001</f>
        <v>50.000000100000001</v>
      </c>
      <c r="V10" s="630" t="s">
        <v>879</v>
      </c>
      <c r="W10" s="630" t="s">
        <v>80</v>
      </c>
      <c r="X10" s="630" t="s">
        <v>76</v>
      </c>
      <c r="Y10" s="640">
        <f t="shared" si="0"/>
        <v>65</v>
      </c>
      <c r="Z10" s="631">
        <v>6</v>
      </c>
      <c r="AA10" s="631">
        <v>101</v>
      </c>
      <c r="AB10" s="631">
        <v>2353</v>
      </c>
      <c r="AC10" s="648">
        <v>0.50800000000000001</v>
      </c>
      <c r="AD10" s="169"/>
      <c r="AF10" s="62" t="s">
        <v>80</v>
      </c>
      <c r="AG10" s="62">
        <v>55</v>
      </c>
      <c r="AH10" s="62">
        <v>65</v>
      </c>
      <c r="AI10" s="62">
        <v>75</v>
      </c>
    </row>
    <row r="11" spans="1:35">
      <c r="C11" s="229">
        <f>IF(AND(B8=4,B9="AL",B10="MC"),1,0)</f>
        <v>0</v>
      </c>
      <c r="D11" s="229" t="s">
        <v>949</v>
      </c>
      <c r="E11" s="229" t="str">
        <f>AA146</f>
        <v xml:space="preserve"> MC CABLE</v>
      </c>
      <c r="F11" s="229" t="str">
        <f>AA147</f>
        <v xml:space="preserve"> 4-#6 AL  </v>
      </c>
      <c r="G11" s="229" t="str">
        <f>AA148</f>
        <v xml:space="preserve"> 1-#6 GND</v>
      </c>
      <c r="H11" s="230">
        <f>AB144</f>
        <v>1482</v>
      </c>
      <c r="I11" s="230">
        <f>AC144</f>
        <v>0.80800000000000005</v>
      </c>
      <c r="J11" s="230" t="str">
        <f>W144</f>
        <v>#6</v>
      </c>
      <c r="K11" s="230" t="str">
        <f>X144</f>
        <v>#6</v>
      </c>
      <c r="L11" s="230">
        <f>Y144</f>
        <v>50</v>
      </c>
      <c r="M11" s="166" t="str">
        <f>V144</f>
        <v>6-6-6-6-6</v>
      </c>
      <c r="S11" s="170"/>
      <c r="T11" s="631">
        <v>102</v>
      </c>
      <c r="U11" s="631">
        <f t="shared" si="1"/>
        <v>65.000000099999994</v>
      </c>
      <c r="V11" s="630" t="s">
        <v>880</v>
      </c>
      <c r="W11" s="630" t="s">
        <v>83</v>
      </c>
      <c r="X11" s="630" t="s">
        <v>80</v>
      </c>
      <c r="Y11" s="640">
        <f t="shared" si="0"/>
        <v>90</v>
      </c>
      <c r="Z11" s="631">
        <v>8</v>
      </c>
      <c r="AA11" s="631">
        <v>102</v>
      </c>
      <c r="AB11" s="631">
        <v>3740</v>
      </c>
      <c r="AC11" s="648">
        <v>0.31900000000000001</v>
      </c>
      <c r="AD11" s="169"/>
      <c r="AF11" s="62" t="s">
        <v>83</v>
      </c>
      <c r="AG11" s="62">
        <v>75</v>
      </c>
      <c r="AH11" s="62">
        <v>90</v>
      </c>
      <c r="AI11" s="62">
        <v>100</v>
      </c>
    </row>
    <row r="12" spans="1:35">
      <c r="C12" s="229">
        <f>IF(AND(B8=3,B9="CU",B10="MC"),1,0)</f>
        <v>0</v>
      </c>
      <c r="D12" s="229" t="s">
        <v>950</v>
      </c>
      <c r="E12" s="229" t="str">
        <f>AA172</f>
        <v xml:space="preserve"> MC CABLE</v>
      </c>
      <c r="F12" s="229" t="str">
        <f>AA173</f>
        <v xml:space="preserve"> 3-#4 CU  </v>
      </c>
      <c r="G12" s="229" t="str">
        <f>AA174</f>
        <v xml:space="preserve"> 1-#8 GND</v>
      </c>
      <c r="H12" s="230">
        <f>AB170</f>
        <v>3830</v>
      </c>
      <c r="I12" s="230">
        <f>AC170</f>
        <v>0.308</v>
      </c>
      <c r="J12" s="230" t="str">
        <f>W170</f>
        <v>#4</v>
      </c>
      <c r="K12" s="230" t="str">
        <f>X170</f>
        <v>#8</v>
      </c>
      <c r="L12" s="230">
        <f>Y170</f>
        <v>85</v>
      </c>
      <c r="M12" s="166" t="str">
        <f>V170</f>
        <v>4-4-4-8</v>
      </c>
      <c r="S12" s="170"/>
      <c r="T12" s="631">
        <v>103</v>
      </c>
      <c r="U12" s="631">
        <f t="shared" si="1"/>
        <v>90.000000099999994</v>
      </c>
      <c r="V12" s="630" t="s">
        <v>881</v>
      </c>
      <c r="W12" s="630" t="s">
        <v>87</v>
      </c>
      <c r="X12" s="630" t="s">
        <v>84</v>
      </c>
      <c r="Y12" s="640">
        <f t="shared" si="0"/>
        <v>100</v>
      </c>
      <c r="Z12" s="631">
        <v>9</v>
      </c>
      <c r="AA12" s="631">
        <v>103</v>
      </c>
      <c r="AB12" s="631">
        <v>4699</v>
      </c>
      <c r="AC12" s="648">
        <v>0.253</v>
      </c>
      <c r="AD12" s="169"/>
      <c r="AF12" s="62" t="s">
        <v>87</v>
      </c>
      <c r="AG12" s="62">
        <v>85</v>
      </c>
      <c r="AH12" s="62">
        <v>100</v>
      </c>
      <c r="AI12" s="62">
        <v>115</v>
      </c>
    </row>
    <row r="13" spans="1:35">
      <c r="C13" s="229">
        <f>IF(AND(B8=4,B9="CU",B10="MC"),1,0)</f>
        <v>0</v>
      </c>
      <c r="D13" s="229" t="s">
        <v>951</v>
      </c>
      <c r="E13" s="229" t="str">
        <f>AA199</f>
        <v xml:space="preserve"> MC CABLE</v>
      </c>
      <c r="F13" s="229" t="str">
        <f>AA200</f>
        <v xml:space="preserve"> 4-#4 CU  </v>
      </c>
      <c r="G13" s="229" t="str">
        <f>AA201</f>
        <v xml:space="preserve"> 1-#8 GND</v>
      </c>
      <c r="H13" s="230">
        <f>AB197</f>
        <v>3830</v>
      </c>
      <c r="I13" s="230">
        <f>AC197</f>
        <v>0.308</v>
      </c>
      <c r="J13" s="230" t="str">
        <f>W197</f>
        <v>#4</v>
      </c>
      <c r="K13" s="230" t="str">
        <f>X197</f>
        <v>#8</v>
      </c>
      <c r="L13" s="230">
        <f>Y197</f>
        <v>85</v>
      </c>
      <c r="M13" s="166" t="str">
        <f>V197</f>
        <v>4-4-4-4-8</v>
      </c>
      <c r="S13" s="170"/>
      <c r="T13" s="631">
        <v>104</v>
      </c>
      <c r="U13" s="631">
        <f t="shared" si="1"/>
        <v>100.00000009999999</v>
      </c>
      <c r="V13" s="630" t="s">
        <v>882</v>
      </c>
      <c r="W13" s="630" t="s">
        <v>93</v>
      </c>
      <c r="X13" s="630" t="s">
        <v>83</v>
      </c>
      <c r="Y13" s="640">
        <f t="shared" si="0"/>
        <v>120</v>
      </c>
      <c r="Z13" s="631">
        <v>10</v>
      </c>
      <c r="AA13" s="631">
        <v>104</v>
      </c>
      <c r="AB13" s="631">
        <v>5876</v>
      </c>
      <c r="AC13" s="648">
        <v>0.20100000000000001</v>
      </c>
      <c r="AD13" s="169"/>
      <c r="AF13" s="62" t="s">
        <v>93</v>
      </c>
      <c r="AG13" s="62">
        <v>100</v>
      </c>
      <c r="AH13" s="62">
        <v>120</v>
      </c>
      <c r="AI13" s="62">
        <v>135</v>
      </c>
    </row>
    <row r="14" spans="1:35">
      <c r="S14" s="170"/>
      <c r="T14" s="631">
        <v>105</v>
      </c>
      <c r="U14" s="631">
        <f t="shared" si="1"/>
        <v>120.00000009999999</v>
      </c>
      <c r="V14" s="630" t="s">
        <v>883</v>
      </c>
      <c r="W14" s="630" t="s">
        <v>97</v>
      </c>
      <c r="X14" s="630" t="s">
        <v>87</v>
      </c>
      <c r="Y14" s="640">
        <f t="shared" si="0"/>
        <v>135</v>
      </c>
      <c r="Z14" s="631">
        <v>11</v>
      </c>
      <c r="AA14" s="631">
        <v>105</v>
      </c>
      <c r="AB14" s="631">
        <v>7373</v>
      </c>
      <c r="AC14" s="648">
        <v>0.159</v>
      </c>
      <c r="AD14" s="169"/>
      <c r="AF14" s="62" t="s">
        <v>97</v>
      </c>
      <c r="AG14" s="62">
        <v>115</v>
      </c>
      <c r="AH14" s="62">
        <v>135</v>
      </c>
      <c r="AI14" s="62">
        <v>150</v>
      </c>
    </row>
    <row r="15" spans="1:35">
      <c r="S15" s="170"/>
      <c r="T15" s="631">
        <v>106</v>
      </c>
      <c r="U15" s="631">
        <f t="shared" si="1"/>
        <v>135.00000009999999</v>
      </c>
      <c r="V15" s="630" t="s">
        <v>885</v>
      </c>
      <c r="W15" s="630" t="s">
        <v>101</v>
      </c>
      <c r="X15" s="630" t="s">
        <v>93</v>
      </c>
      <c r="Y15" s="640">
        <f t="shared" si="0"/>
        <v>155</v>
      </c>
      <c r="Z15" s="631">
        <v>12</v>
      </c>
      <c r="AA15" s="631">
        <v>106</v>
      </c>
      <c r="AB15" s="631">
        <v>9243</v>
      </c>
      <c r="AC15" s="648">
        <v>0.126</v>
      </c>
      <c r="AD15" s="169"/>
      <c r="AF15" s="62" t="s">
        <v>101</v>
      </c>
      <c r="AG15" s="62">
        <v>130</v>
      </c>
      <c r="AH15" s="62">
        <v>155</v>
      </c>
      <c r="AI15" s="62">
        <v>175</v>
      </c>
    </row>
    <row r="16" spans="1:35">
      <c r="D16" s="229" t="str">
        <f t="shared" ref="D16:M16" si="2">IF($C6=1,D6,IF($C7=1,D7,IF($C8=1,D8,IF($C9=1,D9,IF($C10=1,D10,IF($C11=1,D11,IF($C12=1,D12,IF($C13=1,D13,"ERROR"))))))))</f>
        <v>SER 3C AL</v>
      </c>
      <c r="E16" s="229" t="str">
        <f t="shared" si="2"/>
        <v xml:space="preserve"> SER CABLE</v>
      </c>
      <c r="F16" s="229" t="str">
        <f t="shared" si="2"/>
        <v xml:space="preserve"> 3-#6 AL  </v>
      </c>
      <c r="G16" s="229" t="str">
        <f t="shared" si="2"/>
        <v xml:space="preserve"> 1-#6 GND</v>
      </c>
      <c r="H16" s="230">
        <f t="shared" si="2"/>
        <v>1482</v>
      </c>
      <c r="I16" s="230">
        <f t="shared" si="2"/>
        <v>0.80800000000000005</v>
      </c>
      <c r="J16" s="230" t="str">
        <f t="shared" si="2"/>
        <v>#6</v>
      </c>
      <c r="K16" s="230" t="str">
        <f t="shared" si="2"/>
        <v>#6</v>
      </c>
      <c r="L16" s="230">
        <f t="shared" si="2"/>
        <v>50</v>
      </c>
      <c r="M16" s="229" t="str">
        <f t="shared" si="2"/>
        <v>6-6-6-6</v>
      </c>
      <c r="S16" s="170"/>
      <c r="T16" s="631">
        <v>107</v>
      </c>
      <c r="U16" s="631">
        <f t="shared" si="1"/>
        <v>155.00000009999999</v>
      </c>
      <c r="V16" s="630" t="s">
        <v>884</v>
      </c>
      <c r="W16" s="630" t="s">
        <v>103</v>
      </c>
      <c r="X16" s="630" t="s">
        <v>97</v>
      </c>
      <c r="Y16" s="640">
        <f t="shared" si="0"/>
        <v>180</v>
      </c>
      <c r="Z16" s="631">
        <v>13</v>
      </c>
      <c r="AA16" s="631">
        <v>107</v>
      </c>
      <c r="AB16" s="631">
        <v>11409</v>
      </c>
      <c r="AC16" s="648">
        <v>0.1</v>
      </c>
      <c r="AD16" s="169"/>
      <c r="AF16" s="57" t="s">
        <v>103</v>
      </c>
      <c r="AG16" s="57">
        <v>150</v>
      </c>
      <c r="AH16" s="57">
        <v>180</v>
      </c>
      <c r="AI16" s="57">
        <v>205</v>
      </c>
    </row>
    <row r="17" spans="4:37">
      <c r="S17" s="170"/>
      <c r="T17" s="633">
        <v>108</v>
      </c>
      <c r="U17" s="633">
        <f t="shared" si="1"/>
        <v>180.00000009999999</v>
      </c>
      <c r="V17" s="632" t="s">
        <v>877</v>
      </c>
      <c r="W17" s="632" t="s">
        <v>877</v>
      </c>
      <c r="X17" s="632" t="s">
        <v>877</v>
      </c>
      <c r="Y17" s="641">
        <f>Y16</f>
        <v>180</v>
      </c>
      <c r="Z17" s="633" t="s">
        <v>877</v>
      </c>
      <c r="AA17" s="633">
        <v>108</v>
      </c>
      <c r="AB17" s="642" t="s">
        <v>877</v>
      </c>
      <c r="AC17" s="642" t="s">
        <v>877</v>
      </c>
      <c r="AD17" s="169"/>
      <c r="AF17" s="166"/>
    </row>
    <row r="18" spans="4:37">
      <c r="D18" s="645" t="str">
        <f>D16</f>
        <v>SER 3C AL</v>
      </c>
      <c r="E18" s="645" t="str">
        <f t="shared" ref="E18:K18" si="3">IF($M16="EXCEED","ERROR",E16)</f>
        <v xml:space="preserve"> SER CABLE</v>
      </c>
      <c r="F18" s="645" t="str">
        <f t="shared" si="3"/>
        <v xml:space="preserve"> 3-#6 AL  </v>
      </c>
      <c r="G18" s="645" t="str">
        <f t="shared" si="3"/>
        <v xml:space="preserve"> 1-#6 GND</v>
      </c>
      <c r="H18" s="647">
        <f t="shared" si="3"/>
        <v>1482</v>
      </c>
      <c r="I18" s="647">
        <f t="shared" si="3"/>
        <v>0.80800000000000005</v>
      </c>
      <c r="J18" s="647" t="str">
        <f t="shared" si="3"/>
        <v>#6</v>
      </c>
      <c r="K18" s="647" t="str">
        <f t="shared" si="3"/>
        <v>#6</v>
      </c>
      <c r="L18" s="647">
        <f>L16</f>
        <v>50</v>
      </c>
      <c r="M18" s="645" t="str">
        <f>M16</f>
        <v>6-6-6-6</v>
      </c>
      <c r="S18" s="170"/>
      <c r="T18" s="166"/>
      <c r="U18" s="166"/>
      <c r="V18" s="635"/>
      <c r="W18" s="635"/>
      <c r="X18" s="635"/>
      <c r="Y18" s="166"/>
      <c r="Z18" s="166"/>
      <c r="AA18" s="166"/>
      <c r="AB18" s="166"/>
      <c r="AC18" s="166"/>
      <c r="AD18" s="169"/>
      <c r="AF18" s="166"/>
    </row>
    <row r="19" spans="4:37">
      <c r="S19" s="170"/>
      <c r="T19" s="166">
        <f>VLOOKUP(AA19,T9:AA17,1)</f>
        <v>100</v>
      </c>
      <c r="U19" s="166"/>
      <c r="V19" s="166" t="str">
        <f>VLOOKUP(Q6,U9:AB17,2)</f>
        <v>6-6-6-6</v>
      </c>
      <c r="W19" s="166" t="str">
        <f>VLOOKUP(Q6,U9:AB17,3)</f>
        <v>#6</v>
      </c>
      <c r="X19" s="166" t="str">
        <f>VLOOKUP(Q6,U9:AB17,4)</f>
        <v>#6</v>
      </c>
      <c r="Y19" s="166">
        <f>VLOOKUP(Q6,U9:AB17,5)</f>
        <v>50</v>
      </c>
      <c r="Z19" s="166">
        <f>VLOOKUP(Q6,U9:AB17,6)</f>
        <v>5</v>
      </c>
      <c r="AA19" s="166">
        <f>VLOOKUP(Q6,U9:AB17,7)</f>
        <v>100</v>
      </c>
      <c r="AB19" s="166">
        <f>VLOOKUP(Q6,U9:AB17,8)</f>
        <v>1482</v>
      </c>
      <c r="AC19" s="166">
        <f>VLOOKUP(Q6,U9:AC17,9)</f>
        <v>0.80800000000000005</v>
      </c>
      <c r="AD19" s="169"/>
      <c r="AF19" s="166"/>
    </row>
    <row r="20" spans="4:37">
      <c r="S20" s="170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9"/>
    </row>
    <row r="21" spans="4:37">
      <c r="R21" s="627"/>
      <c r="S21" s="170"/>
      <c r="T21" s="166"/>
      <c r="U21" s="166"/>
      <c r="V21" s="166" t="s">
        <v>899</v>
      </c>
      <c r="W21" s="166"/>
      <c r="X21" s="166"/>
      <c r="Y21" s="166"/>
      <c r="Z21" s="166"/>
      <c r="AA21" s="166" t="str">
        <f>CONCATENATE(V21,W21,X21,Y21)</f>
        <v xml:space="preserve"> SER CABLE</v>
      </c>
      <c r="AB21" s="166"/>
      <c r="AC21" s="166"/>
      <c r="AD21" s="169"/>
    </row>
    <row r="22" spans="4:37">
      <c r="R22" s="627"/>
      <c r="S22" s="170"/>
      <c r="T22" s="166"/>
      <c r="U22" s="166"/>
      <c r="V22" s="166" t="s">
        <v>900</v>
      </c>
      <c r="W22" s="166" t="str">
        <f>W19</f>
        <v>#6</v>
      </c>
      <c r="X22" s="166" t="s">
        <v>641</v>
      </c>
      <c r="Y22" s="166" t="s">
        <v>12</v>
      </c>
      <c r="Z22" s="166" t="s">
        <v>12</v>
      </c>
      <c r="AA22" s="166" t="str">
        <f>CONCATENATE(V22,W22,X22,Y22,Z22)</f>
        <v xml:space="preserve"> 3-#6 AL  </v>
      </c>
      <c r="AB22" s="166"/>
      <c r="AC22" s="166"/>
      <c r="AD22" s="169"/>
      <c r="AK22" s="1"/>
    </row>
    <row r="23" spans="4:37">
      <c r="D23" s="229" t="s">
        <v>964</v>
      </c>
      <c r="E23" s="229">
        <f>B6</f>
        <v>0</v>
      </c>
      <c r="F23" s="229" t="s">
        <v>962</v>
      </c>
      <c r="J23" s="646" t="str">
        <f>CONCATENATE(D23,E23,F23)</f>
        <v xml:space="preserve"> THE DESIGN LOAD OF 0 AMPS EXCEEDS THE MAXIMUM</v>
      </c>
      <c r="R23" s="627"/>
      <c r="S23" s="170"/>
      <c r="T23" s="166"/>
      <c r="U23" s="166"/>
      <c r="V23" s="166" t="s">
        <v>901</v>
      </c>
      <c r="W23" s="166" t="str">
        <f>X19</f>
        <v>#6</v>
      </c>
      <c r="X23" s="166" t="s">
        <v>825</v>
      </c>
      <c r="Y23" s="166"/>
      <c r="Z23" s="166"/>
      <c r="AA23" s="166" t="str">
        <f>CONCATENATE(V23,W23,X23,Y23,Z23)</f>
        <v xml:space="preserve"> 1-#6 GND</v>
      </c>
      <c r="AB23" s="166"/>
      <c r="AC23" s="166"/>
      <c r="AD23" s="169"/>
    </row>
    <row r="24" spans="4:37">
      <c r="D24" s="229" t="s">
        <v>965</v>
      </c>
      <c r="E24" s="229">
        <f>L18</f>
        <v>50</v>
      </c>
      <c r="F24" s="229" t="s">
        <v>963</v>
      </c>
      <c r="J24" s="646" t="str">
        <f>CONCATENATE(D24,E24,F24)</f>
        <v xml:space="preserve"> CABLE RATING OF 50 AMPS</v>
      </c>
      <c r="S24" s="636"/>
      <c r="T24" s="637"/>
      <c r="U24" s="637"/>
      <c r="V24" s="637"/>
      <c r="W24" s="637"/>
      <c r="X24" s="637"/>
      <c r="Y24" s="637"/>
      <c r="Z24" s="637"/>
      <c r="AA24" s="637"/>
      <c r="AB24" s="637"/>
      <c r="AC24" s="637"/>
      <c r="AD24" s="638"/>
      <c r="AF24" s="166"/>
    </row>
    <row r="25" spans="4:37">
      <c r="AF25" s="166"/>
    </row>
    <row r="26" spans="4:37">
      <c r="AF26" s="166"/>
    </row>
    <row r="27" spans="4:37">
      <c r="S27" s="166" t="s">
        <v>955</v>
      </c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F27" s="166"/>
    </row>
    <row r="28" spans="4:37">
      <c r="S28" s="634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4"/>
      <c r="AF28" s="24" t="s">
        <v>72</v>
      </c>
      <c r="AG28" s="1"/>
      <c r="AH28" s="1"/>
      <c r="AI28" s="1"/>
      <c r="AJ28" s="1"/>
    </row>
    <row r="29" spans="4:37">
      <c r="P29" s="229" t="s">
        <v>48</v>
      </c>
      <c r="Q29" s="229">
        <f>B6</f>
        <v>0</v>
      </c>
      <c r="S29" s="170"/>
      <c r="T29" s="629" t="s">
        <v>875</v>
      </c>
      <c r="U29" s="629" t="s">
        <v>30</v>
      </c>
      <c r="V29" s="58" t="s">
        <v>68</v>
      </c>
      <c r="W29" s="58" t="s">
        <v>68</v>
      </c>
      <c r="X29" s="58" t="s">
        <v>34</v>
      </c>
      <c r="Y29" s="639" t="str">
        <f>IF($Q$30=60,AG29,IF($Q$30=75,AH29,IF($Q$30=90,AI29)))</f>
        <v>75 C</v>
      </c>
      <c r="Z29" s="58" t="s">
        <v>68</v>
      </c>
      <c r="AA29" s="629" t="s">
        <v>875</v>
      </c>
      <c r="AB29" s="58" t="s">
        <v>886</v>
      </c>
      <c r="AC29" s="58" t="s">
        <v>179</v>
      </c>
      <c r="AD29" s="169"/>
      <c r="AF29" s="58" t="s">
        <v>68</v>
      </c>
      <c r="AG29" s="58" t="s">
        <v>69</v>
      </c>
      <c r="AH29" s="58" t="s">
        <v>70</v>
      </c>
      <c r="AI29" s="58" t="s">
        <v>71</v>
      </c>
    </row>
    <row r="30" spans="4:37">
      <c r="P30" s="229" t="s">
        <v>18</v>
      </c>
      <c r="Q30" s="229">
        <f>B7</f>
        <v>75</v>
      </c>
      <c r="S30" s="170"/>
      <c r="T30" s="631" t="s">
        <v>876</v>
      </c>
      <c r="U30" s="631"/>
      <c r="V30" s="62" t="s">
        <v>38</v>
      </c>
      <c r="W30" s="62" t="s">
        <v>38</v>
      </c>
      <c r="X30" s="62" t="s">
        <v>38</v>
      </c>
      <c r="Y30" s="62" t="s">
        <v>48</v>
      </c>
      <c r="Z30" s="62" t="s">
        <v>38</v>
      </c>
      <c r="AA30" s="631" t="s">
        <v>876</v>
      </c>
      <c r="AB30" s="62" t="s">
        <v>887</v>
      </c>
      <c r="AC30" s="62" t="s">
        <v>182</v>
      </c>
      <c r="AD30" s="169"/>
      <c r="AF30" s="62" t="s">
        <v>38</v>
      </c>
      <c r="AG30" s="62" t="s">
        <v>48</v>
      </c>
      <c r="AH30" s="62" t="s">
        <v>48</v>
      </c>
      <c r="AI30" s="62" t="s">
        <v>48</v>
      </c>
    </row>
    <row r="31" spans="4:37">
      <c r="S31" s="170"/>
      <c r="T31" s="633"/>
      <c r="U31" s="633"/>
      <c r="V31" s="62" t="s">
        <v>74</v>
      </c>
      <c r="W31" s="62"/>
      <c r="X31" s="62"/>
      <c r="Y31" s="62" t="s">
        <v>60</v>
      </c>
      <c r="Z31" s="62" t="s">
        <v>390</v>
      </c>
      <c r="AA31" s="633"/>
      <c r="AB31" s="57"/>
      <c r="AC31" s="57" t="s">
        <v>60</v>
      </c>
      <c r="AD31" s="169"/>
      <c r="AF31" s="62" t="s">
        <v>74</v>
      </c>
      <c r="AG31" s="62" t="s">
        <v>60</v>
      </c>
      <c r="AH31" s="62" t="s">
        <v>60</v>
      </c>
      <c r="AI31" s="62" t="s">
        <v>60</v>
      </c>
    </row>
    <row r="32" spans="4:37">
      <c r="S32" s="170"/>
      <c r="T32" s="629">
        <v>100</v>
      </c>
      <c r="U32" s="629">
        <v>0</v>
      </c>
      <c r="V32" s="628" t="s">
        <v>878</v>
      </c>
      <c r="W32" s="628" t="s">
        <v>76</v>
      </c>
      <c r="X32" s="628" t="s">
        <v>76</v>
      </c>
      <c r="Y32" s="639">
        <f t="shared" ref="Y32:Y40" si="4">IF($Q$30=60,AG32,IF($Q$30=75,AH32,IF($Q$30=90,AI32)))</f>
        <v>65</v>
      </c>
      <c r="Z32" s="629">
        <v>5</v>
      </c>
      <c r="AA32" s="629">
        <v>100</v>
      </c>
      <c r="AB32" s="629">
        <v>2433</v>
      </c>
      <c r="AC32" s="169">
        <v>0.49099999999999999</v>
      </c>
      <c r="AD32" s="169"/>
      <c r="AF32" s="58" t="s">
        <v>76</v>
      </c>
      <c r="AG32" s="58">
        <v>55</v>
      </c>
      <c r="AH32" s="58">
        <v>65</v>
      </c>
      <c r="AI32" s="58">
        <v>75</v>
      </c>
    </row>
    <row r="33" spans="19:37">
      <c r="S33" s="170"/>
      <c r="T33" s="631">
        <v>101</v>
      </c>
      <c r="U33" s="631">
        <f t="shared" ref="U33:U41" si="5">Y32+0.0000001</f>
        <v>65.000000099999994</v>
      </c>
      <c r="V33" s="630" t="s">
        <v>879</v>
      </c>
      <c r="W33" s="630" t="s">
        <v>80</v>
      </c>
      <c r="X33" s="630" t="s">
        <v>76</v>
      </c>
      <c r="Y33" s="640">
        <f t="shared" si="4"/>
        <v>85</v>
      </c>
      <c r="Z33" s="631">
        <v>6</v>
      </c>
      <c r="AA33" s="631">
        <v>101</v>
      </c>
      <c r="AB33" s="631">
        <v>3838</v>
      </c>
      <c r="AC33" s="169">
        <v>0.308</v>
      </c>
      <c r="AD33" s="169"/>
      <c r="AF33" s="62" t="s">
        <v>80</v>
      </c>
      <c r="AG33" s="62">
        <v>70</v>
      </c>
      <c r="AH33" s="62">
        <v>85</v>
      </c>
      <c r="AI33" s="62">
        <v>95</v>
      </c>
    </row>
    <row r="34" spans="19:37">
      <c r="S34" s="170"/>
      <c r="T34" s="631">
        <v>102</v>
      </c>
      <c r="U34" s="631">
        <f t="shared" si="5"/>
        <v>85.000000099999994</v>
      </c>
      <c r="V34" s="630" t="s">
        <v>888</v>
      </c>
      <c r="W34" s="630" t="s">
        <v>84</v>
      </c>
      <c r="X34" s="630" t="s">
        <v>902</v>
      </c>
      <c r="Y34" s="640">
        <f t="shared" si="4"/>
        <v>100</v>
      </c>
      <c r="Z34" s="631">
        <v>7</v>
      </c>
      <c r="AA34" s="631">
        <v>102</v>
      </c>
      <c r="AB34" s="631">
        <v>4833</v>
      </c>
      <c r="AC34" s="169">
        <v>0.245</v>
      </c>
      <c r="AD34" s="169"/>
      <c r="AF34" s="62" t="s">
        <v>84</v>
      </c>
      <c r="AG34" s="62">
        <v>85</v>
      </c>
      <c r="AH34" s="62">
        <v>100</v>
      </c>
      <c r="AI34" s="62">
        <v>110</v>
      </c>
    </row>
    <row r="35" spans="19:37">
      <c r="S35" s="170"/>
      <c r="T35" s="631">
        <v>103</v>
      </c>
      <c r="U35" s="631">
        <f t="shared" si="5"/>
        <v>100.00000009999999</v>
      </c>
      <c r="V35" s="630" t="s">
        <v>880</v>
      </c>
      <c r="W35" s="630" t="s">
        <v>83</v>
      </c>
      <c r="X35" s="630" t="s">
        <v>80</v>
      </c>
      <c r="Y35" s="640">
        <f t="shared" si="4"/>
        <v>115</v>
      </c>
      <c r="Z35" s="631">
        <v>8</v>
      </c>
      <c r="AA35" s="631">
        <v>103</v>
      </c>
      <c r="AB35" s="631">
        <v>6087</v>
      </c>
      <c r="AC35" s="169">
        <v>0.19400000000000001</v>
      </c>
      <c r="AD35" s="169"/>
      <c r="AF35" s="62" t="s">
        <v>83</v>
      </c>
      <c r="AG35" s="62">
        <v>95</v>
      </c>
      <c r="AH35" s="62">
        <v>115</v>
      </c>
      <c r="AI35" s="62">
        <v>130</v>
      </c>
    </row>
    <row r="36" spans="19:37">
      <c r="S36" s="170"/>
      <c r="T36" s="631">
        <v>104</v>
      </c>
      <c r="U36" s="631">
        <f t="shared" si="5"/>
        <v>115.00000009999999</v>
      </c>
      <c r="V36" s="630" t="s">
        <v>881</v>
      </c>
      <c r="W36" s="630" t="s">
        <v>87</v>
      </c>
      <c r="X36" s="630" t="s">
        <v>84</v>
      </c>
      <c r="Y36" s="640">
        <f t="shared" si="4"/>
        <v>130</v>
      </c>
      <c r="Z36" s="631">
        <v>9</v>
      </c>
      <c r="AA36" s="631">
        <v>104</v>
      </c>
      <c r="AB36" s="631">
        <v>7579</v>
      </c>
      <c r="AC36" s="169">
        <v>0.154</v>
      </c>
      <c r="AD36" s="169"/>
      <c r="AF36" s="62" t="s">
        <v>87</v>
      </c>
      <c r="AG36" s="62">
        <v>110</v>
      </c>
      <c r="AH36" s="62">
        <v>130</v>
      </c>
      <c r="AI36" s="62">
        <v>150</v>
      </c>
    </row>
    <row r="37" spans="19:37">
      <c r="S37" s="170"/>
      <c r="T37" s="631">
        <v>105</v>
      </c>
      <c r="U37" s="631">
        <f t="shared" si="5"/>
        <v>130.00000009999999</v>
      </c>
      <c r="V37" s="630" t="s">
        <v>882</v>
      </c>
      <c r="W37" s="630" t="s">
        <v>93</v>
      </c>
      <c r="X37" s="630" t="s">
        <v>83</v>
      </c>
      <c r="Y37" s="640">
        <f t="shared" si="4"/>
        <v>150</v>
      </c>
      <c r="Z37" s="631">
        <v>10</v>
      </c>
      <c r="AA37" s="631">
        <v>105</v>
      </c>
      <c r="AB37" s="631">
        <v>9473</v>
      </c>
      <c r="AC37" s="169">
        <v>0.122</v>
      </c>
      <c r="AD37" s="169"/>
      <c r="AF37" s="62" t="s">
        <v>93</v>
      </c>
      <c r="AG37" s="62">
        <v>125</v>
      </c>
      <c r="AH37" s="62">
        <v>150</v>
      </c>
      <c r="AI37" s="62">
        <v>170</v>
      </c>
    </row>
    <row r="38" spans="19:37">
      <c r="S38" s="170"/>
      <c r="T38" s="631">
        <v>106</v>
      </c>
      <c r="U38" s="631">
        <f t="shared" si="5"/>
        <v>150.00000009999999</v>
      </c>
      <c r="V38" s="630" t="s">
        <v>883</v>
      </c>
      <c r="W38" s="630" t="s">
        <v>97</v>
      </c>
      <c r="X38" s="630" t="s">
        <v>87</v>
      </c>
      <c r="Y38" s="640">
        <f t="shared" si="4"/>
        <v>175</v>
      </c>
      <c r="Z38" s="631">
        <v>11</v>
      </c>
      <c r="AA38" s="631">
        <v>106</v>
      </c>
      <c r="AB38" s="631">
        <v>11703</v>
      </c>
      <c r="AC38" s="169">
        <v>9.6699999999999994E-2</v>
      </c>
      <c r="AD38" s="169"/>
      <c r="AF38" s="62" t="s">
        <v>97</v>
      </c>
      <c r="AG38" s="62">
        <v>145</v>
      </c>
      <c r="AH38" s="62">
        <v>175</v>
      </c>
      <c r="AI38" s="62">
        <v>195</v>
      </c>
    </row>
    <row r="39" spans="19:37">
      <c r="S39" s="170"/>
      <c r="T39" s="631">
        <v>107</v>
      </c>
      <c r="U39" s="631">
        <f t="shared" si="5"/>
        <v>175.00000009999999</v>
      </c>
      <c r="V39" s="630" t="s">
        <v>885</v>
      </c>
      <c r="W39" s="630" t="s">
        <v>101</v>
      </c>
      <c r="X39" s="630" t="s">
        <v>93</v>
      </c>
      <c r="Y39" s="640">
        <f t="shared" si="4"/>
        <v>200</v>
      </c>
      <c r="Z39" s="631">
        <v>12</v>
      </c>
      <c r="AA39" s="631">
        <v>107</v>
      </c>
      <c r="AB39" s="631">
        <v>14410</v>
      </c>
      <c r="AC39" s="169">
        <v>7.6600000000000001E-2</v>
      </c>
      <c r="AD39" s="169"/>
      <c r="AF39" s="62" t="s">
        <v>101</v>
      </c>
      <c r="AG39" s="62">
        <v>165</v>
      </c>
      <c r="AH39" s="62">
        <v>200</v>
      </c>
      <c r="AI39" s="62">
        <v>225</v>
      </c>
    </row>
    <row r="40" spans="19:37">
      <c r="S40" s="170"/>
      <c r="T40" s="631">
        <v>108</v>
      </c>
      <c r="U40" s="631">
        <f t="shared" si="5"/>
        <v>200.00000009999999</v>
      </c>
      <c r="V40" s="630" t="s">
        <v>884</v>
      </c>
      <c r="W40" s="630" t="s">
        <v>103</v>
      </c>
      <c r="X40" s="630" t="s">
        <v>97</v>
      </c>
      <c r="Y40" s="640">
        <f t="shared" si="4"/>
        <v>230</v>
      </c>
      <c r="Z40" s="631">
        <v>13</v>
      </c>
      <c r="AA40" s="631">
        <v>108</v>
      </c>
      <c r="AB40" s="631">
        <v>17483</v>
      </c>
      <c r="AC40" s="169">
        <v>6.08E-2</v>
      </c>
      <c r="AD40" s="169"/>
      <c r="AF40" s="57" t="s">
        <v>103</v>
      </c>
      <c r="AG40" s="57">
        <v>195</v>
      </c>
      <c r="AH40" s="57">
        <v>230</v>
      </c>
      <c r="AI40" s="57">
        <v>260</v>
      </c>
    </row>
    <row r="41" spans="19:37">
      <c r="S41" s="170"/>
      <c r="T41" s="633">
        <v>109</v>
      </c>
      <c r="U41" s="633">
        <f t="shared" si="5"/>
        <v>230.00000009999999</v>
      </c>
      <c r="V41" s="632" t="s">
        <v>877</v>
      </c>
      <c r="W41" s="632" t="s">
        <v>877</v>
      </c>
      <c r="X41" s="632" t="s">
        <v>877</v>
      </c>
      <c r="Y41" s="641">
        <f>Y40</f>
        <v>230</v>
      </c>
      <c r="Z41" s="633" t="s">
        <v>877</v>
      </c>
      <c r="AA41" s="633">
        <v>109</v>
      </c>
      <c r="AB41" s="642" t="s">
        <v>877</v>
      </c>
      <c r="AC41" s="642" t="s">
        <v>877</v>
      </c>
      <c r="AD41" s="169"/>
      <c r="AF41" s="166"/>
    </row>
    <row r="42" spans="19:37">
      <c r="S42" s="170"/>
      <c r="T42" s="166"/>
      <c r="U42" s="166"/>
      <c r="V42" s="635"/>
      <c r="W42" s="635"/>
      <c r="X42" s="635"/>
      <c r="Y42" s="166"/>
      <c r="Z42" s="166"/>
      <c r="AA42" s="166"/>
      <c r="AB42" s="166"/>
      <c r="AC42" s="166"/>
      <c r="AD42" s="169"/>
      <c r="AF42" s="166"/>
    </row>
    <row r="43" spans="19:37">
      <c r="S43" s="170"/>
      <c r="T43" s="166">
        <f>VLOOKUP(AA43,T32:AA41,1)</f>
        <v>100</v>
      </c>
      <c r="U43" s="166"/>
      <c r="V43" s="166" t="str">
        <f>VLOOKUP(Q29,U32:AB41,2)</f>
        <v>6-6-6-6</v>
      </c>
      <c r="W43" s="166" t="str">
        <f>VLOOKUP(Q29,U32:AB41,3)</f>
        <v>#6</v>
      </c>
      <c r="X43" s="166" t="str">
        <f>VLOOKUP(Q29,U32:AB41,4)</f>
        <v>#6</v>
      </c>
      <c r="Y43" s="166">
        <f>VLOOKUP(Q29,U32:AB41,5)</f>
        <v>65</v>
      </c>
      <c r="Z43" s="166">
        <f>VLOOKUP(Q29,U32:AB41,6)</f>
        <v>5</v>
      </c>
      <c r="AA43" s="166">
        <f>VLOOKUP(Q29,U32:AB41,7)</f>
        <v>100</v>
      </c>
      <c r="AB43" s="166">
        <f>VLOOKUP(Q29,U32:AB41,8)</f>
        <v>2433</v>
      </c>
      <c r="AC43" s="166">
        <f>VLOOKUP(Q29,U32:AC41,9)</f>
        <v>0.49099999999999999</v>
      </c>
      <c r="AD43" s="169"/>
      <c r="AF43" s="166"/>
    </row>
    <row r="44" spans="19:37">
      <c r="S44" s="170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9"/>
      <c r="AF44" s="166"/>
    </row>
    <row r="45" spans="19:37">
      <c r="S45" s="170"/>
      <c r="T45" s="166"/>
      <c r="U45" s="166"/>
      <c r="V45" s="166" t="s">
        <v>899</v>
      </c>
      <c r="W45" s="166"/>
      <c r="X45" s="166"/>
      <c r="Y45" s="166"/>
      <c r="Z45" s="166"/>
      <c r="AA45" s="166" t="str">
        <f>CONCATENATE(V45,W45,X45,Y45)</f>
        <v xml:space="preserve"> SER CABLE</v>
      </c>
      <c r="AB45" s="166"/>
      <c r="AC45" s="166"/>
      <c r="AD45" s="169"/>
      <c r="AF45" s="166"/>
    </row>
    <row r="46" spans="19:37">
      <c r="S46" s="170"/>
      <c r="T46" s="166"/>
      <c r="U46" s="166"/>
      <c r="V46" s="166" t="s">
        <v>900</v>
      </c>
      <c r="W46" s="166" t="str">
        <f>W43</f>
        <v>#6</v>
      </c>
      <c r="X46" s="166" t="s">
        <v>903</v>
      </c>
      <c r="Y46" s="166" t="s">
        <v>12</v>
      </c>
      <c r="Z46" s="166" t="s">
        <v>12</v>
      </c>
      <c r="AA46" s="166" t="str">
        <f>CONCATENATE(V46,W46,X46,Y46,Z46)</f>
        <v xml:space="preserve"> 3-#6 CU  </v>
      </c>
      <c r="AB46" s="166"/>
      <c r="AC46" s="166"/>
      <c r="AD46" s="169"/>
      <c r="AF46" s="166"/>
    </row>
    <row r="47" spans="19:37">
      <c r="S47" s="170"/>
      <c r="T47" s="166"/>
      <c r="U47" s="166"/>
      <c r="V47" s="166" t="s">
        <v>901</v>
      </c>
      <c r="W47" s="166" t="str">
        <f>X43</f>
        <v>#6</v>
      </c>
      <c r="X47" s="166" t="s">
        <v>825</v>
      </c>
      <c r="Y47" s="166"/>
      <c r="Z47" s="166"/>
      <c r="AA47" s="166" t="str">
        <f>CONCATENATE(V47,W47,X47,Y47,Z47)</f>
        <v xml:space="preserve"> 1-#6 GND</v>
      </c>
      <c r="AB47" s="166"/>
      <c r="AC47" s="166"/>
      <c r="AD47" s="169"/>
      <c r="AK47" s="1"/>
    </row>
    <row r="48" spans="19:37">
      <c r="S48" s="636"/>
      <c r="T48" s="637"/>
      <c r="U48" s="637"/>
      <c r="V48" s="637"/>
      <c r="W48" s="637"/>
      <c r="X48" s="637"/>
      <c r="Y48" s="637"/>
      <c r="Z48" s="637"/>
      <c r="AA48" s="637"/>
      <c r="AB48" s="637"/>
      <c r="AC48" s="637"/>
      <c r="AD48" s="638"/>
    </row>
    <row r="52" spans="16:36">
      <c r="S52" s="166" t="s">
        <v>956</v>
      </c>
      <c r="T52" s="166"/>
      <c r="U52" s="166"/>
      <c r="V52" s="166"/>
      <c r="W52" s="166"/>
      <c r="X52" s="166"/>
      <c r="Y52" s="166"/>
      <c r="Z52" s="166"/>
      <c r="AA52" s="166"/>
      <c r="AB52" s="166"/>
      <c r="AC52" s="166"/>
    </row>
    <row r="53" spans="16:36">
      <c r="S53" s="634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4"/>
      <c r="AF53" s="24" t="s">
        <v>72</v>
      </c>
      <c r="AG53" s="1"/>
      <c r="AH53" s="1"/>
      <c r="AI53" s="1"/>
      <c r="AJ53" s="1"/>
    </row>
    <row r="54" spans="16:36">
      <c r="P54" s="229" t="s">
        <v>48</v>
      </c>
      <c r="Q54" s="229">
        <f>B6</f>
        <v>0</v>
      </c>
      <c r="S54" s="170"/>
      <c r="T54" s="629" t="s">
        <v>875</v>
      </c>
      <c r="U54" s="629" t="s">
        <v>30</v>
      </c>
      <c r="V54" s="58" t="s">
        <v>68</v>
      </c>
      <c r="W54" s="58" t="s">
        <v>68</v>
      </c>
      <c r="X54" s="58" t="s">
        <v>34</v>
      </c>
      <c r="Y54" s="639" t="str">
        <f>IF($Q$55=60,AG54,IF($Q$55=75,AH54,IF($Q$55=90,AI54)))</f>
        <v>75 C</v>
      </c>
      <c r="Z54" s="58" t="s">
        <v>68</v>
      </c>
      <c r="AA54" s="629" t="s">
        <v>875</v>
      </c>
      <c r="AB54" s="58" t="s">
        <v>886</v>
      </c>
      <c r="AC54" s="58" t="s">
        <v>179</v>
      </c>
      <c r="AD54" s="169"/>
      <c r="AF54" s="58" t="s">
        <v>68</v>
      </c>
      <c r="AG54" s="58" t="s">
        <v>69</v>
      </c>
      <c r="AH54" s="58" t="s">
        <v>70</v>
      </c>
      <c r="AI54" s="58" t="s">
        <v>71</v>
      </c>
    </row>
    <row r="55" spans="16:36">
      <c r="P55" s="229" t="s">
        <v>905</v>
      </c>
      <c r="Q55" s="229">
        <f>B7</f>
        <v>75</v>
      </c>
      <c r="S55" s="170"/>
      <c r="T55" s="631" t="s">
        <v>876</v>
      </c>
      <c r="U55" s="631"/>
      <c r="V55" s="62" t="s">
        <v>38</v>
      </c>
      <c r="W55" s="62" t="s">
        <v>38</v>
      </c>
      <c r="X55" s="62" t="s">
        <v>38</v>
      </c>
      <c r="Y55" s="62" t="s">
        <v>48</v>
      </c>
      <c r="Z55" s="62" t="s">
        <v>38</v>
      </c>
      <c r="AA55" s="631" t="s">
        <v>876</v>
      </c>
      <c r="AB55" s="62" t="s">
        <v>887</v>
      </c>
      <c r="AC55" s="62" t="s">
        <v>182</v>
      </c>
      <c r="AD55" s="169"/>
      <c r="AF55" s="62" t="s">
        <v>38</v>
      </c>
      <c r="AG55" s="62" t="s">
        <v>48</v>
      </c>
      <c r="AH55" s="62" t="s">
        <v>48</v>
      </c>
      <c r="AI55" s="62" t="s">
        <v>48</v>
      </c>
    </row>
    <row r="56" spans="16:36">
      <c r="S56" s="170"/>
      <c r="T56" s="633"/>
      <c r="U56" s="633"/>
      <c r="V56" s="62" t="s">
        <v>74</v>
      </c>
      <c r="W56" s="62"/>
      <c r="X56" s="62"/>
      <c r="Y56" s="62" t="s">
        <v>77</v>
      </c>
      <c r="Z56" s="62" t="s">
        <v>390</v>
      </c>
      <c r="AA56" s="633"/>
      <c r="AB56" s="57"/>
      <c r="AC56" s="57" t="s">
        <v>77</v>
      </c>
      <c r="AD56" s="169"/>
      <c r="AF56" s="62" t="s">
        <v>74</v>
      </c>
      <c r="AG56" s="62" t="s">
        <v>77</v>
      </c>
      <c r="AH56" s="62" t="s">
        <v>77</v>
      </c>
      <c r="AI56" s="62" t="s">
        <v>77</v>
      </c>
    </row>
    <row r="57" spans="16:36">
      <c r="S57" s="170"/>
      <c r="T57" s="629">
        <v>100</v>
      </c>
      <c r="U57" s="629">
        <v>0</v>
      </c>
      <c r="V57" s="628" t="s">
        <v>889</v>
      </c>
      <c r="W57" s="628" t="s">
        <v>76</v>
      </c>
      <c r="X57" s="628" t="s">
        <v>76</v>
      </c>
      <c r="Y57" s="639">
        <f t="shared" ref="Y57:Y66" si="6">IF($Q$55=60,AG57,IF($Q$55=75,AH57,IF($Q$55=90,AI57)))</f>
        <v>50</v>
      </c>
      <c r="Z57" s="629">
        <v>5</v>
      </c>
      <c r="AA57" s="629">
        <v>100</v>
      </c>
      <c r="AB57" s="629">
        <v>1482</v>
      </c>
      <c r="AC57" s="169">
        <v>0.80800000000000005</v>
      </c>
      <c r="AD57" s="169"/>
      <c r="AF57" s="58" t="s">
        <v>76</v>
      </c>
      <c r="AG57" s="58">
        <v>40</v>
      </c>
      <c r="AH57" s="58">
        <v>50</v>
      </c>
      <c r="AI57" s="58">
        <v>60</v>
      </c>
    </row>
    <row r="58" spans="16:36">
      <c r="S58" s="170"/>
      <c r="T58" s="631">
        <v>101</v>
      </c>
      <c r="U58" s="631">
        <f t="shared" ref="U58:U67" si="7">Y57+0.0000001</f>
        <v>50.000000100000001</v>
      </c>
      <c r="V58" s="630" t="s">
        <v>890</v>
      </c>
      <c r="W58" s="630" t="s">
        <v>80</v>
      </c>
      <c r="X58" s="630" t="s">
        <v>76</v>
      </c>
      <c r="Y58" s="640">
        <f t="shared" si="6"/>
        <v>65</v>
      </c>
      <c r="Z58" s="631">
        <v>6</v>
      </c>
      <c r="AA58" s="631">
        <v>101</v>
      </c>
      <c r="AB58" s="631">
        <v>2353</v>
      </c>
      <c r="AC58" s="169">
        <v>0.50800000000000001</v>
      </c>
      <c r="AD58" s="169"/>
      <c r="AF58" s="62" t="s">
        <v>80</v>
      </c>
      <c r="AG58" s="62">
        <v>55</v>
      </c>
      <c r="AH58" s="62">
        <v>65</v>
      </c>
      <c r="AI58" s="62">
        <v>75</v>
      </c>
    </row>
    <row r="59" spans="16:36">
      <c r="S59" s="170"/>
      <c r="T59" s="631">
        <v>102</v>
      </c>
      <c r="U59" s="631">
        <f t="shared" si="7"/>
        <v>65.000000099999994</v>
      </c>
      <c r="V59" s="630" t="s">
        <v>891</v>
      </c>
      <c r="W59" s="630" t="s">
        <v>83</v>
      </c>
      <c r="X59" s="630" t="s">
        <v>80</v>
      </c>
      <c r="Y59" s="640">
        <f t="shared" si="6"/>
        <v>90</v>
      </c>
      <c r="Z59" s="631">
        <v>8</v>
      </c>
      <c r="AA59" s="631">
        <v>102</v>
      </c>
      <c r="AB59" s="631">
        <v>3740</v>
      </c>
      <c r="AC59" s="169">
        <v>0.31900000000000001</v>
      </c>
      <c r="AD59" s="169"/>
      <c r="AF59" s="62" t="s">
        <v>83</v>
      </c>
      <c r="AG59" s="62">
        <v>75</v>
      </c>
      <c r="AH59" s="62">
        <v>90</v>
      </c>
      <c r="AI59" s="62">
        <v>100</v>
      </c>
    </row>
    <row r="60" spans="16:36">
      <c r="S60" s="170"/>
      <c r="T60" s="631">
        <v>103</v>
      </c>
      <c r="U60" s="631">
        <f t="shared" si="7"/>
        <v>90.000000099999994</v>
      </c>
      <c r="V60" s="630" t="s">
        <v>892</v>
      </c>
      <c r="W60" s="630" t="s">
        <v>87</v>
      </c>
      <c r="X60" s="630" t="s">
        <v>84</v>
      </c>
      <c r="Y60" s="640">
        <f t="shared" si="6"/>
        <v>100</v>
      </c>
      <c r="Z60" s="631">
        <v>9</v>
      </c>
      <c r="AA60" s="631">
        <v>103</v>
      </c>
      <c r="AB60" s="631">
        <v>4699</v>
      </c>
      <c r="AC60" s="169">
        <v>0.253</v>
      </c>
      <c r="AD60" s="169"/>
      <c r="AF60" s="62" t="s">
        <v>87</v>
      </c>
      <c r="AG60" s="62">
        <v>85</v>
      </c>
      <c r="AH60" s="62">
        <v>100</v>
      </c>
      <c r="AI60" s="62">
        <v>115</v>
      </c>
    </row>
    <row r="61" spans="16:36">
      <c r="S61" s="170"/>
      <c r="T61" s="631">
        <v>104</v>
      </c>
      <c r="U61" s="631">
        <f t="shared" si="7"/>
        <v>100.00000009999999</v>
      </c>
      <c r="V61" s="630" t="s">
        <v>893</v>
      </c>
      <c r="W61" s="630" t="s">
        <v>93</v>
      </c>
      <c r="X61" s="630" t="s">
        <v>83</v>
      </c>
      <c r="Y61" s="640">
        <f t="shared" si="6"/>
        <v>120</v>
      </c>
      <c r="Z61" s="631">
        <v>10</v>
      </c>
      <c r="AA61" s="631">
        <v>104</v>
      </c>
      <c r="AB61" s="631">
        <v>5876</v>
      </c>
      <c r="AC61" s="169">
        <v>0.20100000000000001</v>
      </c>
      <c r="AD61" s="169"/>
      <c r="AF61" s="62" t="s">
        <v>93</v>
      </c>
      <c r="AG61" s="62">
        <v>100</v>
      </c>
      <c r="AH61" s="62">
        <v>120</v>
      </c>
      <c r="AI61" s="62">
        <v>135</v>
      </c>
    </row>
    <row r="62" spans="16:36">
      <c r="S62" s="170"/>
      <c r="T62" s="631">
        <v>105</v>
      </c>
      <c r="U62" s="631">
        <f t="shared" si="7"/>
        <v>120.00000009999999</v>
      </c>
      <c r="V62" s="630" t="s">
        <v>894</v>
      </c>
      <c r="W62" s="630" t="s">
        <v>97</v>
      </c>
      <c r="X62" s="630" t="s">
        <v>87</v>
      </c>
      <c r="Y62" s="640">
        <f t="shared" si="6"/>
        <v>135</v>
      </c>
      <c r="Z62" s="631">
        <v>11</v>
      </c>
      <c r="AA62" s="631">
        <v>105</v>
      </c>
      <c r="AB62" s="631">
        <v>7373</v>
      </c>
      <c r="AC62" s="169">
        <v>0.159</v>
      </c>
      <c r="AD62" s="169"/>
      <c r="AF62" s="62" t="s">
        <v>97</v>
      </c>
      <c r="AG62" s="62">
        <v>115</v>
      </c>
      <c r="AH62" s="62">
        <v>135</v>
      </c>
      <c r="AI62" s="62">
        <v>150</v>
      </c>
    </row>
    <row r="63" spans="16:36">
      <c r="S63" s="170"/>
      <c r="T63" s="631">
        <v>106</v>
      </c>
      <c r="U63" s="631">
        <f t="shared" si="7"/>
        <v>135.00000009999999</v>
      </c>
      <c r="V63" s="630" t="s">
        <v>895</v>
      </c>
      <c r="W63" s="630" t="s">
        <v>101</v>
      </c>
      <c r="X63" s="630" t="s">
        <v>93</v>
      </c>
      <c r="Y63" s="640">
        <f t="shared" si="6"/>
        <v>155</v>
      </c>
      <c r="Z63" s="631">
        <v>12</v>
      </c>
      <c r="AA63" s="631">
        <v>106</v>
      </c>
      <c r="AB63" s="631">
        <v>9243</v>
      </c>
      <c r="AC63" s="169">
        <v>0.126</v>
      </c>
      <c r="AD63" s="169"/>
      <c r="AF63" s="62" t="s">
        <v>101</v>
      </c>
      <c r="AG63" s="62">
        <v>130</v>
      </c>
      <c r="AH63" s="62">
        <v>155</v>
      </c>
      <c r="AI63" s="62">
        <v>175</v>
      </c>
    </row>
    <row r="64" spans="16:36">
      <c r="S64" s="170"/>
      <c r="T64" s="631">
        <v>107</v>
      </c>
      <c r="U64" s="631">
        <f t="shared" si="7"/>
        <v>155.00000009999999</v>
      </c>
      <c r="V64" s="630" t="s">
        <v>896</v>
      </c>
      <c r="W64" s="630" t="s">
        <v>103</v>
      </c>
      <c r="X64" s="630" t="s">
        <v>97</v>
      </c>
      <c r="Y64" s="640">
        <f t="shared" si="6"/>
        <v>180</v>
      </c>
      <c r="Z64" s="631">
        <v>13</v>
      </c>
      <c r="AA64" s="631">
        <v>107</v>
      </c>
      <c r="AB64" s="631">
        <v>11409</v>
      </c>
      <c r="AC64" s="169">
        <v>0.1</v>
      </c>
      <c r="AD64" s="169"/>
      <c r="AF64" s="62" t="s">
        <v>103</v>
      </c>
      <c r="AG64" s="62">
        <v>150</v>
      </c>
      <c r="AH64" s="62">
        <v>180</v>
      </c>
      <c r="AI64" s="62">
        <v>205</v>
      </c>
    </row>
    <row r="65" spans="19:36">
      <c r="S65" s="170"/>
      <c r="T65" s="631">
        <v>108</v>
      </c>
      <c r="U65" s="631">
        <f t="shared" si="7"/>
        <v>180.00000009999999</v>
      </c>
      <c r="V65" s="630" t="s">
        <v>897</v>
      </c>
      <c r="W65" s="630" t="s">
        <v>106</v>
      </c>
      <c r="X65" s="630" t="s">
        <v>101</v>
      </c>
      <c r="Y65" s="640">
        <f t="shared" si="6"/>
        <v>205</v>
      </c>
      <c r="Z65" s="631">
        <v>14</v>
      </c>
      <c r="AA65" s="631">
        <v>108</v>
      </c>
      <c r="AB65" s="631">
        <v>13236</v>
      </c>
      <c r="AC65" s="169">
        <v>8.4699999999999998E-2</v>
      </c>
      <c r="AD65" s="169"/>
      <c r="AF65" s="62" t="s">
        <v>106</v>
      </c>
      <c r="AG65" s="62">
        <v>170</v>
      </c>
      <c r="AH65" s="62">
        <v>205</v>
      </c>
      <c r="AI65" s="62">
        <v>230</v>
      </c>
    </row>
    <row r="66" spans="19:36">
      <c r="S66" s="170"/>
      <c r="T66" s="631">
        <v>109</v>
      </c>
      <c r="U66" s="631">
        <f t="shared" si="7"/>
        <v>205.00000009999999</v>
      </c>
      <c r="V66" s="630" t="s">
        <v>898</v>
      </c>
      <c r="W66" s="630" t="s">
        <v>109</v>
      </c>
      <c r="X66" s="630" t="s">
        <v>103</v>
      </c>
      <c r="Y66" s="640">
        <f t="shared" si="6"/>
        <v>230</v>
      </c>
      <c r="Z66" s="631">
        <v>15</v>
      </c>
      <c r="AA66" s="631">
        <v>109</v>
      </c>
      <c r="AB66" s="631">
        <v>15495</v>
      </c>
      <c r="AC66" s="169">
        <v>7.0699999999999999E-2</v>
      </c>
      <c r="AD66" s="169"/>
      <c r="AF66" s="57" t="s">
        <v>109</v>
      </c>
      <c r="AG66" s="57">
        <v>190</v>
      </c>
      <c r="AH66" s="57">
        <v>230</v>
      </c>
      <c r="AI66" s="57">
        <v>255</v>
      </c>
    </row>
    <row r="67" spans="19:36">
      <c r="S67" s="170"/>
      <c r="T67" s="633">
        <v>110</v>
      </c>
      <c r="U67" s="633">
        <f t="shared" si="7"/>
        <v>230.00000009999999</v>
      </c>
      <c r="V67" s="632" t="s">
        <v>877</v>
      </c>
      <c r="W67" s="632" t="s">
        <v>877</v>
      </c>
      <c r="X67" s="632" t="s">
        <v>877</v>
      </c>
      <c r="Y67" s="641">
        <f>Y66</f>
        <v>230</v>
      </c>
      <c r="Z67" s="633" t="s">
        <v>877</v>
      </c>
      <c r="AA67" s="633">
        <v>110</v>
      </c>
      <c r="AB67" s="642" t="s">
        <v>877</v>
      </c>
      <c r="AC67" s="642" t="s">
        <v>877</v>
      </c>
      <c r="AD67" s="169"/>
    </row>
    <row r="68" spans="19:36">
      <c r="S68" s="170"/>
      <c r="T68" s="166"/>
      <c r="U68" s="166"/>
      <c r="V68" s="635"/>
      <c r="W68" s="635"/>
      <c r="X68" s="635"/>
      <c r="Y68" s="166"/>
      <c r="Z68" s="166"/>
      <c r="AA68" s="166"/>
      <c r="AB68" s="166"/>
      <c r="AC68" s="166"/>
      <c r="AD68" s="169"/>
    </row>
    <row r="69" spans="19:36">
      <c r="S69" s="170"/>
      <c r="T69" s="166">
        <f>VLOOKUP(AA69,T57:AA67,1)</f>
        <v>100</v>
      </c>
      <c r="U69" s="166"/>
      <c r="V69" s="166" t="str">
        <f>VLOOKUP(Q54,U57:AB67,2)</f>
        <v>6-6-6-6-6</v>
      </c>
      <c r="W69" s="166" t="str">
        <f>VLOOKUP(Q54,U57:AB67,3)</f>
        <v>#6</v>
      </c>
      <c r="X69" s="166" t="str">
        <f>VLOOKUP(Q54,U57:AB67,4)</f>
        <v>#6</v>
      </c>
      <c r="Y69" s="166">
        <f>VLOOKUP(Q54,U57:AB67,5)</f>
        <v>50</v>
      </c>
      <c r="Z69" s="166">
        <f>VLOOKUP(Q54,U57:AB67,6)</f>
        <v>5</v>
      </c>
      <c r="AA69" s="166">
        <f>VLOOKUP(Q54,U57:AB67,7)</f>
        <v>100</v>
      </c>
      <c r="AB69" s="166">
        <f>VLOOKUP(Q54,U57:AB67,8)</f>
        <v>1482</v>
      </c>
      <c r="AC69" s="166">
        <f>VLOOKUP(Q54,U57:AC67,9)</f>
        <v>0.80800000000000005</v>
      </c>
      <c r="AD69" s="169"/>
    </row>
    <row r="70" spans="19:36">
      <c r="S70" s="170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9"/>
    </row>
    <row r="71" spans="19:36">
      <c r="S71" s="170"/>
      <c r="T71" s="166"/>
      <c r="U71" s="166"/>
      <c r="V71" s="166" t="s">
        <v>899</v>
      </c>
      <c r="W71" s="166"/>
      <c r="X71" s="166"/>
      <c r="Y71" s="166"/>
      <c r="Z71" s="166"/>
      <c r="AA71" s="166" t="str">
        <f>CONCATENATE(V71,W71,X71,Y71)</f>
        <v xml:space="preserve"> SER CABLE</v>
      </c>
      <c r="AB71" s="166"/>
      <c r="AC71" s="166"/>
      <c r="AD71" s="169"/>
    </row>
    <row r="72" spans="19:36">
      <c r="S72" s="170"/>
      <c r="T72" s="166"/>
      <c r="U72" s="166"/>
      <c r="V72" s="166" t="s">
        <v>917</v>
      </c>
      <c r="W72" s="166" t="str">
        <f>W69</f>
        <v>#6</v>
      </c>
      <c r="X72" s="166" t="s">
        <v>641</v>
      </c>
      <c r="Y72" s="166" t="s">
        <v>12</v>
      </c>
      <c r="Z72" s="166" t="s">
        <v>12</v>
      </c>
      <c r="AA72" s="166" t="str">
        <f>CONCATENATE(V72,W72,X72,Y72,Z72)</f>
        <v xml:space="preserve"> 4-#6 AL  </v>
      </c>
      <c r="AB72" s="166"/>
      <c r="AC72" s="166"/>
      <c r="AD72" s="169"/>
    </row>
    <row r="73" spans="19:36">
      <c r="S73" s="170"/>
      <c r="T73" s="166"/>
      <c r="U73" s="166"/>
      <c r="V73" s="166" t="s">
        <v>901</v>
      </c>
      <c r="W73" s="166" t="str">
        <f>X69</f>
        <v>#6</v>
      </c>
      <c r="X73" s="166" t="s">
        <v>825</v>
      </c>
      <c r="Y73" s="166"/>
      <c r="Z73" s="166"/>
      <c r="AA73" s="166" t="str">
        <f>CONCATENATE(V73,W73,X73,Y73,Z73)</f>
        <v xml:space="preserve"> 1-#6 GND</v>
      </c>
      <c r="AB73" s="166"/>
      <c r="AC73" s="166"/>
      <c r="AD73" s="169"/>
    </row>
    <row r="74" spans="19:36">
      <c r="S74" s="636"/>
      <c r="T74" s="637"/>
      <c r="U74" s="637"/>
      <c r="V74" s="637"/>
      <c r="W74" s="637"/>
      <c r="X74" s="637"/>
      <c r="Y74" s="637"/>
      <c r="Z74" s="637"/>
      <c r="AA74" s="637"/>
      <c r="AB74" s="637"/>
      <c r="AC74" s="637"/>
      <c r="AD74" s="638"/>
    </row>
    <row r="79" spans="19:36">
      <c r="AJ79" s="1"/>
    </row>
    <row r="80" spans="19:36">
      <c r="S80" s="166" t="s">
        <v>946</v>
      </c>
      <c r="T80" s="166"/>
      <c r="U80" s="166"/>
      <c r="V80" s="166"/>
      <c r="W80" s="166"/>
      <c r="X80" s="166"/>
      <c r="Y80" s="166"/>
      <c r="Z80" s="166"/>
      <c r="AA80" s="166"/>
      <c r="AB80" s="166"/>
      <c r="AC80" s="166"/>
    </row>
    <row r="81" spans="16:35">
      <c r="S81" s="634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4"/>
      <c r="AF81" s="24" t="s">
        <v>72</v>
      </c>
      <c r="AG81" s="1"/>
      <c r="AH81" s="1"/>
      <c r="AI81" s="1"/>
    </row>
    <row r="82" spans="16:35">
      <c r="P82" s="229" t="s">
        <v>48</v>
      </c>
      <c r="Q82" s="229">
        <f>B6</f>
        <v>0</v>
      </c>
      <c r="S82" s="170"/>
      <c r="T82" s="629" t="s">
        <v>875</v>
      </c>
      <c r="U82" s="629" t="s">
        <v>30</v>
      </c>
      <c r="V82" s="58" t="s">
        <v>68</v>
      </c>
      <c r="W82" s="58" t="s">
        <v>68</v>
      </c>
      <c r="X82" s="58" t="s">
        <v>34</v>
      </c>
      <c r="Y82" s="639" t="str">
        <f>IF($Q$83=60,AG82,IF($Q$83=75,AH82,IF($Q$83=90,AI82)))</f>
        <v>75 C</v>
      </c>
      <c r="Z82" s="58" t="s">
        <v>68</v>
      </c>
      <c r="AA82" s="629" t="s">
        <v>875</v>
      </c>
      <c r="AB82" s="58" t="s">
        <v>886</v>
      </c>
      <c r="AC82" s="58" t="s">
        <v>179</v>
      </c>
      <c r="AD82" s="169"/>
      <c r="AF82" s="58" t="s">
        <v>68</v>
      </c>
      <c r="AG82" s="58" t="s">
        <v>69</v>
      </c>
      <c r="AH82" s="58" t="s">
        <v>70</v>
      </c>
      <c r="AI82" s="58" t="s">
        <v>71</v>
      </c>
    </row>
    <row r="83" spans="16:35">
      <c r="P83" s="229" t="s">
        <v>905</v>
      </c>
      <c r="Q83" s="229">
        <f>B7</f>
        <v>75</v>
      </c>
      <c r="S83" s="170"/>
      <c r="T83" s="631" t="s">
        <v>876</v>
      </c>
      <c r="U83" s="631"/>
      <c r="V83" s="62" t="s">
        <v>38</v>
      </c>
      <c r="W83" s="62" t="s">
        <v>38</v>
      </c>
      <c r="X83" s="62" t="s">
        <v>38</v>
      </c>
      <c r="Y83" s="62" t="s">
        <v>48</v>
      </c>
      <c r="Z83" s="62" t="s">
        <v>38</v>
      </c>
      <c r="AA83" s="631" t="s">
        <v>876</v>
      </c>
      <c r="AB83" s="62" t="s">
        <v>887</v>
      </c>
      <c r="AC83" s="62" t="s">
        <v>182</v>
      </c>
      <c r="AD83" s="169"/>
      <c r="AF83" s="62" t="s">
        <v>38</v>
      </c>
      <c r="AG83" s="62" t="s">
        <v>48</v>
      </c>
      <c r="AH83" s="62" t="s">
        <v>48</v>
      </c>
      <c r="AI83" s="62" t="s">
        <v>48</v>
      </c>
    </row>
    <row r="84" spans="16:35">
      <c r="S84" s="170"/>
      <c r="T84" s="633"/>
      <c r="U84" s="633"/>
      <c r="V84" s="62" t="s">
        <v>74</v>
      </c>
      <c r="W84" s="62"/>
      <c r="X84" s="62"/>
      <c r="Y84" s="62" t="s">
        <v>77</v>
      </c>
      <c r="Z84" s="62" t="s">
        <v>390</v>
      </c>
      <c r="AA84" s="633"/>
      <c r="AB84" s="57"/>
      <c r="AC84" s="57" t="s">
        <v>60</v>
      </c>
      <c r="AD84" s="169"/>
      <c r="AF84" s="62" t="s">
        <v>74</v>
      </c>
      <c r="AG84" s="62" t="s">
        <v>60</v>
      </c>
      <c r="AH84" s="62" t="s">
        <v>60</v>
      </c>
      <c r="AI84" s="62" t="s">
        <v>60</v>
      </c>
    </row>
    <row r="85" spans="16:35">
      <c r="S85" s="170"/>
      <c r="T85" s="629">
        <v>100</v>
      </c>
      <c r="U85" s="629">
        <v>0</v>
      </c>
      <c r="V85" s="628" t="s">
        <v>878</v>
      </c>
      <c r="W85" s="628" t="s">
        <v>76</v>
      </c>
      <c r="X85" s="628" t="s">
        <v>169</v>
      </c>
      <c r="Y85" s="639">
        <f>IF($Q$83=60,AG85,IF($Q$83=75,AH85,IF($Q$83=90,AI85)))</f>
        <v>65</v>
      </c>
      <c r="Z85" s="629">
        <v>5</v>
      </c>
      <c r="AA85" s="629">
        <v>100</v>
      </c>
      <c r="AB85" s="629">
        <v>2433</v>
      </c>
      <c r="AC85" s="169">
        <v>0.49099999999999999</v>
      </c>
      <c r="AD85" s="169"/>
      <c r="AF85" s="58" t="s">
        <v>76</v>
      </c>
      <c r="AG85" s="58">
        <v>55</v>
      </c>
      <c r="AH85" s="58">
        <v>65</v>
      </c>
      <c r="AI85" s="58">
        <v>75</v>
      </c>
    </row>
    <row r="86" spans="16:35">
      <c r="S86" s="170"/>
      <c r="T86" s="631">
        <v>101</v>
      </c>
      <c r="U86" s="631">
        <f>Y85+0.0000001</f>
        <v>65.000000099999994</v>
      </c>
      <c r="V86" s="630" t="s">
        <v>906</v>
      </c>
      <c r="W86" s="630" t="s">
        <v>80</v>
      </c>
      <c r="X86" s="630" t="s">
        <v>173</v>
      </c>
      <c r="Y86" s="640">
        <f>IF($Q$83=60,AG86,IF($Q$83=75,AH86,IF($Q$83=90,AI86)))</f>
        <v>85</v>
      </c>
      <c r="Z86" s="631">
        <v>6</v>
      </c>
      <c r="AA86" s="631">
        <v>101</v>
      </c>
      <c r="AB86" s="631">
        <v>3838</v>
      </c>
      <c r="AC86" s="169">
        <v>0.308</v>
      </c>
      <c r="AD86" s="169"/>
      <c r="AF86" s="62" t="s">
        <v>80</v>
      </c>
      <c r="AG86" s="62">
        <v>70</v>
      </c>
      <c r="AH86" s="62">
        <v>85</v>
      </c>
      <c r="AI86" s="62">
        <v>95</v>
      </c>
    </row>
    <row r="87" spans="16:35">
      <c r="S87" s="170"/>
      <c r="T87" s="631">
        <v>102</v>
      </c>
      <c r="U87" s="631">
        <f>Y86+0.0000001</f>
        <v>85.000000099999994</v>
      </c>
      <c r="V87" s="630" t="s">
        <v>907</v>
      </c>
      <c r="W87" s="630" t="s">
        <v>83</v>
      </c>
      <c r="X87" s="630" t="s">
        <v>173</v>
      </c>
      <c r="Y87" s="640">
        <f>IF($Q$83=60,AG87,IF($Q$83=75,AH87,IF($Q$83=90,AI87)))</f>
        <v>115</v>
      </c>
      <c r="Z87" s="631">
        <v>7</v>
      </c>
      <c r="AA87" s="631">
        <v>102</v>
      </c>
      <c r="AB87" s="631">
        <v>4833</v>
      </c>
      <c r="AC87" s="169">
        <v>0.19400000000000001</v>
      </c>
      <c r="AD87" s="169"/>
      <c r="AF87" s="57" t="s">
        <v>83</v>
      </c>
      <c r="AG87" s="57">
        <v>95</v>
      </c>
      <c r="AH87" s="57">
        <v>115</v>
      </c>
      <c r="AI87" s="57">
        <v>130</v>
      </c>
    </row>
    <row r="88" spans="16:35">
      <c r="S88" s="170"/>
      <c r="T88" s="633">
        <v>103</v>
      </c>
      <c r="U88" s="633">
        <f>Y87+0.0000001</f>
        <v>115.00000009999999</v>
      </c>
      <c r="V88" s="632" t="s">
        <v>877</v>
      </c>
      <c r="W88" s="632" t="s">
        <v>877</v>
      </c>
      <c r="X88" s="632" t="s">
        <v>877</v>
      </c>
      <c r="Y88" s="641">
        <f>Y87</f>
        <v>115</v>
      </c>
      <c r="Z88" s="633" t="s">
        <v>877</v>
      </c>
      <c r="AA88" s="633">
        <v>103</v>
      </c>
      <c r="AB88" s="642" t="s">
        <v>877</v>
      </c>
      <c r="AC88" s="642" t="s">
        <v>877</v>
      </c>
      <c r="AD88" s="169"/>
    </row>
    <row r="89" spans="16:35">
      <c r="S89" s="170"/>
      <c r="T89" s="166"/>
      <c r="U89" s="166"/>
      <c r="V89" s="635"/>
      <c r="W89" s="635"/>
      <c r="X89" s="635"/>
      <c r="Y89" s="166"/>
      <c r="Z89" s="166"/>
      <c r="AA89" s="166"/>
      <c r="AB89" s="166"/>
      <c r="AC89" s="166"/>
      <c r="AD89" s="169"/>
    </row>
    <row r="90" spans="16:35">
      <c r="S90" s="170"/>
      <c r="T90" s="166">
        <f>VLOOKUP(AA90,T85:AA88,1)</f>
        <v>100</v>
      </c>
      <c r="U90" s="166"/>
      <c r="V90" s="166" t="str">
        <f>VLOOKUP(Q82,U85:AB88,2)</f>
        <v>6-6-6-6</v>
      </c>
      <c r="W90" s="166" t="str">
        <f>VLOOKUP(Q82,U85:AB88,3)</f>
        <v>#6</v>
      </c>
      <c r="X90" s="166" t="str">
        <f>VLOOKUP(Q82,U85:AB88,4)</f>
        <v>#10</v>
      </c>
      <c r="Y90" s="166">
        <f>VLOOKUP(Q82,U85:AB88,5)</f>
        <v>65</v>
      </c>
      <c r="Z90" s="166">
        <f>VLOOKUP(Q82,U85:AB88,6)</f>
        <v>5</v>
      </c>
      <c r="AA90" s="166">
        <f>VLOOKUP(Q82,U85:AB88,7)</f>
        <v>100</v>
      </c>
      <c r="AB90" s="166">
        <f>VLOOKUP(Q82,U85:AB88,8)</f>
        <v>2433</v>
      </c>
      <c r="AC90" s="166">
        <f>VLOOKUP(Q82,U85:AC88,9)</f>
        <v>0.49099999999999999</v>
      </c>
      <c r="AD90" s="169"/>
    </row>
    <row r="91" spans="16:35">
      <c r="S91" s="170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9"/>
    </row>
    <row r="92" spans="16:35">
      <c r="S92" s="170"/>
      <c r="T92" s="166"/>
      <c r="U92" s="166"/>
      <c r="V92" s="166" t="s">
        <v>961</v>
      </c>
      <c r="W92" s="166"/>
      <c r="X92" s="166"/>
      <c r="Y92" s="166"/>
      <c r="Z92" s="166"/>
      <c r="AA92" s="166" t="str">
        <f>CONCATENATE(V92,W92,X92,Y92)</f>
        <v xml:space="preserve"> ROMEX</v>
      </c>
      <c r="AB92" s="166"/>
      <c r="AC92" s="166"/>
      <c r="AD92" s="169"/>
    </row>
    <row r="93" spans="16:35">
      <c r="S93" s="170"/>
      <c r="T93" s="166"/>
      <c r="U93" s="166"/>
      <c r="V93" s="166" t="s">
        <v>900</v>
      </c>
      <c r="W93" s="166" t="str">
        <f>W90</f>
        <v>#6</v>
      </c>
      <c r="X93" s="166" t="s">
        <v>903</v>
      </c>
      <c r="Y93" s="166" t="s">
        <v>12</v>
      </c>
      <c r="Z93" s="166" t="s">
        <v>12</v>
      </c>
      <c r="AA93" s="166" t="str">
        <f>CONCATENATE(V93,W93,X93,Y93,Z93)</f>
        <v xml:space="preserve"> 3-#6 CU  </v>
      </c>
      <c r="AB93" s="166"/>
      <c r="AC93" s="166"/>
      <c r="AD93" s="169"/>
    </row>
    <row r="94" spans="16:35">
      <c r="S94" s="170"/>
      <c r="T94" s="166"/>
      <c r="U94" s="166"/>
      <c r="V94" s="166" t="s">
        <v>901</v>
      </c>
      <c r="W94" s="166" t="str">
        <f>X90</f>
        <v>#10</v>
      </c>
      <c r="X94" s="166" t="s">
        <v>825</v>
      </c>
      <c r="Y94" s="166"/>
      <c r="Z94" s="166"/>
      <c r="AA94" s="166" t="str">
        <f>CONCATENATE(V94,W94,X94,Y94,Z94)</f>
        <v xml:space="preserve"> 1-#10 GND</v>
      </c>
      <c r="AB94" s="166"/>
      <c r="AC94" s="166"/>
      <c r="AD94" s="169"/>
    </row>
    <row r="95" spans="16:35">
      <c r="S95" s="636"/>
      <c r="T95" s="637"/>
      <c r="U95" s="637"/>
      <c r="V95" s="637"/>
      <c r="W95" s="637"/>
      <c r="X95" s="637"/>
      <c r="Y95" s="637"/>
      <c r="Z95" s="637"/>
      <c r="AA95" s="637"/>
      <c r="AB95" s="637"/>
      <c r="AC95" s="637"/>
      <c r="AD95" s="638"/>
    </row>
    <row r="97" spans="16:36">
      <c r="X97" s="166"/>
    </row>
    <row r="98" spans="16:36">
      <c r="X98" s="166"/>
    </row>
    <row r="99" spans="16:36">
      <c r="X99" s="167"/>
      <c r="AJ99" s="1"/>
    </row>
    <row r="100" spans="16:36">
      <c r="S100" s="166" t="s">
        <v>908</v>
      </c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</row>
    <row r="101" spans="16:36">
      <c r="S101" s="634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4"/>
      <c r="AF101" s="24" t="s">
        <v>72</v>
      </c>
      <c r="AG101" s="1"/>
      <c r="AH101" s="1"/>
      <c r="AI101" s="1"/>
    </row>
    <row r="102" spans="16:36">
      <c r="P102" s="229" t="s">
        <v>48</v>
      </c>
      <c r="Q102" s="229">
        <f>B6</f>
        <v>0</v>
      </c>
      <c r="S102" s="170"/>
      <c r="T102" s="629" t="s">
        <v>875</v>
      </c>
      <c r="U102" s="629" t="s">
        <v>30</v>
      </c>
      <c r="V102" s="58" t="s">
        <v>68</v>
      </c>
      <c r="W102" s="58" t="s">
        <v>68</v>
      </c>
      <c r="X102" s="58" t="s">
        <v>34</v>
      </c>
      <c r="Y102" s="639" t="str">
        <f>IF($Q$103=60,AG102,IF($Q$103=75,AH102,IF($Q$103=90,AI102)))</f>
        <v>75 C</v>
      </c>
      <c r="Z102" s="58" t="s">
        <v>68</v>
      </c>
      <c r="AA102" s="629" t="s">
        <v>875</v>
      </c>
      <c r="AB102" s="58" t="s">
        <v>886</v>
      </c>
      <c r="AC102" s="58" t="s">
        <v>179</v>
      </c>
      <c r="AD102" s="169"/>
      <c r="AF102" s="58" t="s">
        <v>68</v>
      </c>
      <c r="AG102" s="58" t="s">
        <v>69</v>
      </c>
      <c r="AH102" s="58" t="s">
        <v>70</v>
      </c>
      <c r="AI102" s="58" t="s">
        <v>71</v>
      </c>
    </row>
    <row r="103" spans="16:36">
      <c r="P103" s="229" t="s">
        <v>905</v>
      </c>
      <c r="Q103" s="229">
        <f>B7</f>
        <v>75</v>
      </c>
      <c r="S103" s="170"/>
      <c r="T103" s="631" t="s">
        <v>876</v>
      </c>
      <c r="U103" s="631"/>
      <c r="V103" s="62" t="s">
        <v>38</v>
      </c>
      <c r="W103" s="62" t="s">
        <v>38</v>
      </c>
      <c r="X103" s="62" t="s">
        <v>38</v>
      </c>
      <c r="Y103" s="62" t="s">
        <v>48</v>
      </c>
      <c r="Z103" s="62" t="s">
        <v>38</v>
      </c>
      <c r="AA103" s="631" t="s">
        <v>876</v>
      </c>
      <c r="AB103" s="62" t="s">
        <v>887</v>
      </c>
      <c r="AC103" s="62" t="s">
        <v>182</v>
      </c>
      <c r="AD103" s="169"/>
      <c r="AF103" s="62" t="s">
        <v>38</v>
      </c>
      <c r="AG103" s="62" t="s">
        <v>48</v>
      </c>
      <c r="AH103" s="62" t="s">
        <v>48</v>
      </c>
      <c r="AI103" s="62" t="s">
        <v>48</v>
      </c>
    </row>
    <row r="104" spans="16:36">
      <c r="S104" s="170"/>
      <c r="T104" s="633"/>
      <c r="U104" s="633"/>
      <c r="V104" s="62" t="s">
        <v>74</v>
      </c>
      <c r="W104" s="62"/>
      <c r="X104" s="62"/>
      <c r="Y104" s="62" t="s">
        <v>77</v>
      </c>
      <c r="Z104" s="62" t="s">
        <v>390</v>
      </c>
      <c r="AA104" s="633"/>
      <c r="AB104" s="57"/>
      <c r="AC104" s="57" t="s">
        <v>77</v>
      </c>
      <c r="AD104" s="169"/>
      <c r="AF104" s="62" t="s">
        <v>74</v>
      </c>
      <c r="AG104" s="62" t="s">
        <v>77</v>
      </c>
      <c r="AH104" s="62" t="s">
        <v>77</v>
      </c>
      <c r="AI104" s="62" t="s">
        <v>77</v>
      </c>
    </row>
    <row r="105" spans="16:36">
      <c r="S105" s="170"/>
      <c r="T105" s="629">
        <v>100</v>
      </c>
      <c r="U105" s="629">
        <v>0</v>
      </c>
      <c r="V105" s="628" t="s">
        <v>878</v>
      </c>
      <c r="W105" s="628" t="s">
        <v>76</v>
      </c>
      <c r="X105" s="628" t="s">
        <v>76</v>
      </c>
      <c r="Y105" s="639">
        <f t="shared" ref="Y105:Y114" si="8">IF($Q$103=60,AG105,IF($Q$103=75,AH105,IF($Q$103=90,AI105)))</f>
        <v>50</v>
      </c>
      <c r="Z105" s="629">
        <v>5</v>
      </c>
      <c r="AA105" s="629">
        <v>100</v>
      </c>
      <c r="AB105" s="629">
        <v>1482</v>
      </c>
      <c r="AC105" s="169">
        <v>0.80800000000000005</v>
      </c>
      <c r="AD105" s="169"/>
      <c r="AF105" s="58" t="s">
        <v>76</v>
      </c>
      <c r="AG105" s="58">
        <v>40</v>
      </c>
      <c r="AH105" s="58">
        <v>50</v>
      </c>
      <c r="AI105" s="58">
        <v>60</v>
      </c>
    </row>
    <row r="106" spans="16:36">
      <c r="S106" s="170"/>
      <c r="T106" s="631">
        <v>101</v>
      </c>
      <c r="U106" s="631">
        <f t="shared" ref="U106:U115" si="9">Y105+0.0000001</f>
        <v>50.000000100000001</v>
      </c>
      <c r="V106" s="630" t="s">
        <v>879</v>
      </c>
      <c r="W106" s="630" t="s">
        <v>80</v>
      </c>
      <c r="X106" s="630" t="s">
        <v>76</v>
      </c>
      <c r="Y106" s="640">
        <f t="shared" si="8"/>
        <v>65</v>
      </c>
      <c r="Z106" s="631">
        <v>6</v>
      </c>
      <c r="AA106" s="631">
        <v>101</v>
      </c>
      <c r="AB106" s="631">
        <v>2353</v>
      </c>
      <c r="AC106" s="169">
        <v>0.50800000000000001</v>
      </c>
      <c r="AD106" s="169"/>
      <c r="AF106" s="62" t="s">
        <v>80</v>
      </c>
      <c r="AG106" s="62">
        <v>55</v>
      </c>
      <c r="AH106" s="62">
        <v>65</v>
      </c>
      <c r="AI106" s="62">
        <v>75</v>
      </c>
    </row>
    <row r="107" spans="16:36">
      <c r="S107" s="170"/>
      <c r="T107" s="631">
        <v>102</v>
      </c>
      <c r="U107" s="631">
        <f t="shared" si="9"/>
        <v>65.000000099999994</v>
      </c>
      <c r="V107" s="630" t="s">
        <v>880</v>
      </c>
      <c r="W107" s="630" t="s">
        <v>83</v>
      </c>
      <c r="X107" s="630" t="s">
        <v>80</v>
      </c>
      <c r="Y107" s="640">
        <f t="shared" si="8"/>
        <v>90</v>
      </c>
      <c r="Z107" s="631">
        <v>8</v>
      </c>
      <c r="AA107" s="631">
        <v>102</v>
      </c>
      <c r="AB107" s="631">
        <v>3734</v>
      </c>
      <c r="AC107" s="169">
        <v>0.31900000000000001</v>
      </c>
      <c r="AD107" s="169"/>
      <c r="AF107" s="62" t="s">
        <v>83</v>
      </c>
      <c r="AG107" s="62">
        <v>75</v>
      </c>
      <c r="AH107" s="62">
        <v>90</v>
      </c>
      <c r="AI107" s="62">
        <v>100</v>
      </c>
    </row>
    <row r="108" spans="16:36">
      <c r="S108" s="170"/>
      <c r="T108" s="631">
        <v>103</v>
      </c>
      <c r="U108" s="631">
        <f t="shared" si="9"/>
        <v>90.000000099999994</v>
      </c>
      <c r="V108" s="630" t="s">
        <v>909</v>
      </c>
      <c r="W108" s="630" t="s">
        <v>87</v>
      </c>
      <c r="X108" s="630" t="s">
        <v>80</v>
      </c>
      <c r="Y108" s="640">
        <f t="shared" si="8"/>
        <v>100</v>
      </c>
      <c r="Z108" s="631">
        <v>9</v>
      </c>
      <c r="AA108" s="631">
        <v>103</v>
      </c>
      <c r="AB108" s="631">
        <v>4686</v>
      </c>
      <c r="AC108" s="169">
        <v>0.253</v>
      </c>
      <c r="AD108" s="169"/>
      <c r="AF108" s="62" t="s">
        <v>87</v>
      </c>
      <c r="AG108" s="62">
        <v>85</v>
      </c>
      <c r="AH108" s="62">
        <v>100</v>
      </c>
      <c r="AI108" s="62">
        <v>115</v>
      </c>
    </row>
    <row r="109" spans="16:36">
      <c r="S109" s="170"/>
      <c r="T109" s="631">
        <v>104</v>
      </c>
      <c r="U109" s="631">
        <f t="shared" si="9"/>
        <v>100.00000009999999</v>
      </c>
      <c r="V109" s="630" t="s">
        <v>910</v>
      </c>
      <c r="W109" s="630" t="s">
        <v>93</v>
      </c>
      <c r="X109" s="630" t="s">
        <v>80</v>
      </c>
      <c r="Y109" s="640">
        <f t="shared" si="8"/>
        <v>120</v>
      </c>
      <c r="Z109" s="631">
        <v>10</v>
      </c>
      <c r="AA109" s="631">
        <v>104</v>
      </c>
      <c r="AB109" s="631">
        <v>5852</v>
      </c>
      <c r="AC109" s="169">
        <v>0.20100000000000001</v>
      </c>
      <c r="AD109" s="169"/>
      <c r="AF109" s="62" t="s">
        <v>93</v>
      </c>
      <c r="AG109" s="62">
        <v>100</v>
      </c>
      <c r="AH109" s="62">
        <v>120</v>
      </c>
      <c r="AI109" s="62">
        <v>135</v>
      </c>
    </row>
    <row r="110" spans="16:36">
      <c r="S110" s="170"/>
      <c r="T110" s="631">
        <v>105</v>
      </c>
      <c r="U110" s="631">
        <f t="shared" si="9"/>
        <v>120.00000009999999</v>
      </c>
      <c r="V110" s="630" t="s">
        <v>911</v>
      </c>
      <c r="W110" s="630" t="s">
        <v>97</v>
      </c>
      <c r="X110" s="630" t="s">
        <v>80</v>
      </c>
      <c r="Y110" s="640">
        <f t="shared" si="8"/>
        <v>135</v>
      </c>
      <c r="Z110" s="631">
        <v>11</v>
      </c>
      <c r="AA110" s="631">
        <v>105</v>
      </c>
      <c r="AB110" s="631">
        <v>7327</v>
      </c>
      <c r="AC110" s="169">
        <v>0.159</v>
      </c>
      <c r="AD110" s="169"/>
      <c r="AF110" s="62" t="s">
        <v>97</v>
      </c>
      <c r="AG110" s="62">
        <v>115</v>
      </c>
      <c r="AH110" s="62">
        <v>135</v>
      </c>
      <c r="AI110" s="62">
        <v>150</v>
      </c>
    </row>
    <row r="111" spans="16:36">
      <c r="S111" s="170"/>
      <c r="T111" s="631">
        <v>106</v>
      </c>
      <c r="U111" s="631">
        <f t="shared" si="9"/>
        <v>135.00000009999999</v>
      </c>
      <c r="V111" s="630" t="s">
        <v>912</v>
      </c>
      <c r="W111" s="630" t="s">
        <v>101</v>
      </c>
      <c r="X111" s="630" t="s">
        <v>80</v>
      </c>
      <c r="Y111" s="640">
        <f t="shared" si="8"/>
        <v>155</v>
      </c>
      <c r="Z111" s="631">
        <v>12</v>
      </c>
      <c r="AA111" s="631">
        <v>106</v>
      </c>
      <c r="AB111" s="631">
        <v>9077</v>
      </c>
      <c r="AC111" s="169">
        <v>0.126</v>
      </c>
      <c r="AD111" s="169"/>
      <c r="AF111" s="62" t="s">
        <v>101</v>
      </c>
      <c r="AG111" s="62">
        <v>130</v>
      </c>
      <c r="AH111" s="62">
        <v>155</v>
      </c>
      <c r="AI111" s="62">
        <v>175</v>
      </c>
    </row>
    <row r="112" spans="16:36">
      <c r="S112" s="170"/>
      <c r="T112" s="631">
        <v>107</v>
      </c>
      <c r="U112" s="631">
        <f t="shared" si="9"/>
        <v>155.00000009999999</v>
      </c>
      <c r="V112" s="630" t="s">
        <v>913</v>
      </c>
      <c r="W112" s="630" t="s">
        <v>103</v>
      </c>
      <c r="X112" s="630" t="s">
        <v>83</v>
      </c>
      <c r="Y112" s="640">
        <f t="shared" si="8"/>
        <v>180</v>
      </c>
      <c r="Z112" s="631">
        <v>13</v>
      </c>
      <c r="AA112" s="631">
        <v>107</v>
      </c>
      <c r="AB112" s="631">
        <v>11185</v>
      </c>
      <c r="AC112" s="169">
        <v>0.1</v>
      </c>
      <c r="AD112" s="169"/>
      <c r="AF112" s="62" t="s">
        <v>103</v>
      </c>
      <c r="AG112" s="62">
        <v>150</v>
      </c>
      <c r="AH112" s="62">
        <v>180</v>
      </c>
      <c r="AI112" s="62">
        <v>205</v>
      </c>
    </row>
    <row r="113" spans="19:36">
      <c r="S113" s="170"/>
      <c r="T113" s="631">
        <v>108</v>
      </c>
      <c r="U113" s="631">
        <f t="shared" si="9"/>
        <v>180.00000009999999</v>
      </c>
      <c r="V113" s="630" t="s">
        <v>914</v>
      </c>
      <c r="W113" s="630" t="s">
        <v>106</v>
      </c>
      <c r="X113" s="630" t="s">
        <v>83</v>
      </c>
      <c r="Y113" s="640">
        <f t="shared" si="8"/>
        <v>205</v>
      </c>
      <c r="Z113" s="631">
        <v>14</v>
      </c>
      <c r="AA113" s="631">
        <v>108</v>
      </c>
      <c r="AB113" s="631">
        <v>12797</v>
      </c>
      <c r="AC113" s="169">
        <v>8.4699999999999998E-2</v>
      </c>
      <c r="AD113" s="169"/>
      <c r="AF113" s="62" t="s">
        <v>106</v>
      </c>
      <c r="AG113" s="62">
        <v>170</v>
      </c>
      <c r="AH113" s="62">
        <v>205</v>
      </c>
      <c r="AI113" s="62">
        <v>230</v>
      </c>
    </row>
    <row r="114" spans="19:36">
      <c r="S114" s="170"/>
      <c r="T114" s="631">
        <v>109</v>
      </c>
      <c r="U114" s="631">
        <f t="shared" si="9"/>
        <v>205.00000009999999</v>
      </c>
      <c r="V114" s="630" t="s">
        <v>915</v>
      </c>
      <c r="W114" s="630" t="s">
        <v>109</v>
      </c>
      <c r="X114" s="630" t="s">
        <v>87</v>
      </c>
      <c r="Y114" s="640">
        <f t="shared" si="8"/>
        <v>250</v>
      </c>
      <c r="Z114" s="631">
        <v>16</v>
      </c>
      <c r="AA114" s="631">
        <v>109</v>
      </c>
      <c r="AB114" s="631">
        <v>16795</v>
      </c>
      <c r="AC114" s="169">
        <v>6.0499999999999998E-2</v>
      </c>
      <c r="AD114" s="169"/>
      <c r="AF114" s="57" t="s">
        <v>112</v>
      </c>
      <c r="AG114" s="57">
        <v>210</v>
      </c>
      <c r="AH114" s="57">
        <v>250</v>
      </c>
      <c r="AI114" s="57">
        <v>280</v>
      </c>
    </row>
    <row r="115" spans="19:36">
      <c r="S115" s="170"/>
      <c r="T115" s="633">
        <v>110</v>
      </c>
      <c r="U115" s="633">
        <f t="shared" si="9"/>
        <v>250.00000009999999</v>
      </c>
      <c r="V115" s="632" t="s">
        <v>877</v>
      </c>
      <c r="W115" s="632" t="s">
        <v>877</v>
      </c>
      <c r="X115" s="632" t="s">
        <v>877</v>
      </c>
      <c r="Y115" s="641">
        <f>Y114</f>
        <v>250</v>
      </c>
      <c r="Z115" s="633" t="s">
        <v>877</v>
      </c>
      <c r="AA115" s="633">
        <v>110</v>
      </c>
      <c r="AB115" s="642" t="s">
        <v>877</v>
      </c>
      <c r="AC115" s="642" t="s">
        <v>877</v>
      </c>
      <c r="AD115" s="169"/>
    </row>
    <row r="116" spans="19:36">
      <c r="S116" s="170"/>
      <c r="T116" s="166"/>
      <c r="U116" s="166"/>
      <c r="V116" s="635"/>
      <c r="W116" s="635"/>
      <c r="X116" s="635"/>
      <c r="Y116" s="166"/>
      <c r="Z116" s="166"/>
      <c r="AA116" s="166"/>
      <c r="AB116" s="166"/>
      <c r="AC116" s="166"/>
      <c r="AD116" s="169"/>
    </row>
    <row r="117" spans="19:36">
      <c r="S117" s="170"/>
      <c r="T117" s="166">
        <f>VLOOKUP(AA117,T105:AA115,1)</f>
        <v>100</v>
      </c>
      <c r="U117" s="166"/>
      <c r="V117" s="166" t="str">
        <f>VLOOKUP(Q102,U105:AB115,2)</f>
        <v>6-6-6-6</v>
      </c>
      <c r="W117" s="166" t="str">
        <f>VLOOKUP(Q102,U105:AB115,3)</f>
        <v>#6</v>
      </c>
      <c r="X117" s="166" t="str">
        <f>VLOOKUP(Q102,U105:AB115,4)</f>
        <v>#6</v>
      </c>
      <c r="Y117" s="166">
        <f>VLOOKUP(Q102,U105:AB115,5)</f>
        <v>50</v>
      </c>
      <c r="Z117" s="166">
        <f>VLOOKUP(Q102,U105:AB115,6)</f>
        <v>5</v>
      </c>
      <c r="AA117" s="166">
        <f>VLOOKUP(Q102,U105:AB115,7)</f>
        <v>100</v>
      </c>
      <c r="AB117" s="166">
        <f>VLOOKUP(Q102,U105:AB115,8)</f>
        <v>1482</v>
      </c>
      <c r="AC117" s="166">
        <f>VLOOKUP(Q102,U105:AC115,9)</f>
        <v>0.80800000000000005</v>
      </c>
      <c r="AD117" s="169"/>
    </row>
    <row r="118" spans="19:36">
      <c r="S118" s="170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9"/>
    </row>
    <row r="119" spans="19:36">
      <c r="S119" s="170"/>
      <c r="T119" s="166"/>
      <c r="U119" s="166"/>
      <c r="V119" s="166" t="s">
        <v>916</v>
      </c>
      <c r="W119" s="166"/>
      <c r="X119" s="166"/>
      <c r="Y119" s="166"/>
      <c r="Z119" s="166"/>
      <c r="AA119" s="166" t="str">
        <f>CONCATENATE(V119,W119,X119,Y119)</f>
        <v xml:space="preserve"> MC CABLE</v>
      </c>
      <c r="AB119" s="166"/>
      <c r="AC119" s="166"/>
      <c r="AD119" s="169"/>
    </row>
    <row r="120" spans="19:36">
      <c r="S120" s="170"/>
      <c r="T120" s="166"/>
      <c r="U120" s="166"/>
      <c r="V120" s="166" t="s">
        <v>900</v>
      </c>
      <c r="W120" s="166" t="str">
        <f>W117</f>
        <v>#6</v>
      </c>
      <c r="X120" s="166" t="s">
        <v>641</v>
      </c>
      <c r="Y120" s="166" t="s">
        <v>12</v>
      </c>
      <c r="Z120" s="166" t="s">
        <v>12</v>
      </c>
      <c r="AA120" s="166" t="str">
        <f>CONCATENATE(V120,W120,X120,Y120,Z120)</f>
        <v xml:space="preserve"> 3-#6 AL  </v>
      </c>
      <c r="AB120" s="166"/>
      <c r="AC120" s="166"/>
      <c r="AD120" s="169"/>
    </row>
    <row r="121" spans="19:36">
      <c r="S121" s="170"/>
      <c r="T121" s="166"/>
      <c r="U121" s="166"/>
      <c r="V121" s="166" t="s">
        <v>901</v>
      </c>
      <c r="W121" s="166" t="str">
        <f>X117</f>
        <v>#6</v>
      </c>
      <c r="X121" s="166" t="s">
        <v>825</v>
      </c>
      <c r="Y121" s="166"/>
      <c r="Z121" s="166"/>
      <c r="AA121" s="166" t="str">
        <f>CONCATENATE(V121,W121,X121,Y121,Z121)</f>
        <v xml:space="preserve"> 1-#6 GND</v>
      </c>
      <c r="AB121" s="166"/>
      <c r="AC121" s="166"/>
      <c r="AD121" s="169"/>
    </row>
    <row r="122" spans="19:36">
      <c r="S122" s="636"/>
      <c r="T122" s="637"/>
      <c r="U122" s="637"/>
      <c r="V122" s="637"/>
      <c r="W122" s="637"/>
      <c r="X122" s="637"/>
      <c r="Y122" s="637"/>
      <c r="Z122" s="637"/>
      <c r="AA122" s="637"/>
      <c r="AB122" s="637"/>
      <c r="AC122" s="637"/>
      <c r="AD122" s="638"/>
    </row>
    <row r="126" spans="19:36">
      <c r="AJ126" s="1"/>
    </row>
    <row r="127" spans="19:36">
      <c r="S127" s="166" t="s">
        <v>918</v>
      </c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</row>
    <row r="128" spans="19:36">
      <c r="S128" s="634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4"/>
      <c r="AF128" s="24" t="s">
        <v>72</v>
      </c>
      <c r="AG128" s="1"/>
      <c r="AH128" s="1"/>
      <c r="AI128" s="1"/>
    </row>
    <row r="129" spans="16:35">
      <c r="P129" s="229" t="s">
        <v>48</v>
      </c>
      <c r="Q129" s="229">
        <f>B6</f>
        <v>0</v>
      </c>
      <c r="S129" s="170"/>
      <c r="T129" s="629" t="s">
        <v>875</v>
      </c>
      <c r="U129" s="629" t="s">
        <v>30</v>
      </c>
      <c r="V129" s="58" t="s">
        <v>68</v>
      </c>
      <c r="W129" s="58" t="s">
        <v>68</v>
      </c>
      <c r="X129" s="58" t="s">
        <v>34</v>
      </c>
      <c r="Y129" s="639" t="str">
        <f>IF($Q$130=60,AG129,IF($Q$130=75,AH129,IF($Q$130=90,AI129)))</f>
        <v>75 C</v>
      </c>
      <c r="Z129" s="58" t="s">
        <v>68</v>
      </c>
      <c r="AA129" s="629" t="s">
        <v>875</v>
      </c>
      <c r="AB129" s="58" t="s">
        <v>886</v>
      </c>
      <c r="AC129" s="58" t="s">
        <v>179</v>
      </c>
      <c r="AD129" s="169"/>
      <c r="AF129" s="58" t="s">
        <v>68</v>
      </c>
      <c r="AG129" s="58" t="s">
        <v>69</v>
      </c>
      <c r="AH129" s="58" t="s">
        <v>70</v>
      </c>
      <c r="AI129" s="58" t="s">
        <v>71</v>
      </c>
    </row>
    <row r="130" spans="16:35">
      <c r="P130" s="229" t="s">
        <v>905</v>
      </c>
      <c r="Q130" s="229">
        <f>B7</f>
        <v>75</v>
      </c>
      <c r="S130" s="170"/>
      <c r="T130" s="631" t="s">
        <v>876</v>
      </c>
      <c r="U130" s="631"/>
      <c r="V130" s="62" t="s">
        <v>38</v>
      </c>
      <c r="W130" s="62" t="s">
        <v>38</v>
      </c>
      <c r="X130" s="62" t="s">
        <v>38</v>
      </c>
      <c r="Y130" s="62" t="s">
        <v>48</v>
      </c>
      <c r="Z130" s="62" t="s">
        <v>38</v>
      </c>
      <c r="AA130" s="631" t="s">
        <v>876</v>
      </c>
      <c r="AB130" s="62" t="s">
        <v>887</v>
      </c>
      <c r="AC130" s="62" t="s">
        <v>182</v>
      </c>
      <c r="AD130" s="169"/>
      <c r="AF130" s="62" t="s">
        <v>38</v>
      </c>
      <c r="AG130" s="62" t="s">
        <v>48</v>
      </c>
      <c r="AH130" s="62" t="s">
        <v>48</v>
      </c>
      <c r="AI130" s="62" t="s">
        <v>48</v>
      </c>
    </row>
    <row r="131" spans="16:35">
      <c r="S131" s="170"/>
      <c r="T131" s="633"/>
      <c r="U131" s="633"/>
      <c r="V131" s="62" t="s">
        <v>74</v>
      </c>
      <c r="W131" s="62"/>
      <c r="X131" s="62"/>
      <c r="Y131" s="62" t="s">
        <v>77</v>
      </c>
      <c r="Z131" s="62" t="s">
        <v>390</v>
      </c>
      <c r="AA131" s="633"/>
      <c r="AB131" s="57"/>
      <c r="AC131" s="57" t="s">
        <v>77</v>
      </c>
      <c r="AD131" s="169"/>
      <c r="AF131" s="62" t="s">
        <v>74</v>
      </c>
      <c r="AG131" s="62" t="s">
        <v>77</v>
      </c>
      <c r="AH131" s="62" t="s">
        <v>77</v>
      </c>
      <c r="AI131" s="62" t="s">
        <v>77</v>
      </c>
    </row>
    <row r="132" spans="16:35">
      <c r="S132" s="170"/>
      <c r="T132" s="629">
        <v>100</v>
      </c>
      <c r="U132" s="629">
        <v>0</v>
      </c>
      <c r="V132" s="628" t="s">
        <v>889</v>
      </c>
      <c r="W132" s="628" t="s">
        <v>76</v>
      </c>
      <c r="X132" s="628" t="s">
        <v>76</v>
      </c>
      <c r="Y132" s="639">
        <f t="shared" ref="Y132:Y141" si="10">IF($Q$130=60,AG132,IF($Q$130=75,AH132,IF($Q$130=90,AI132)))</f>
        <v>50</v>
      </c>
      <c r="Z132" s="629">
        <v>5</v>
      </c>
      <c r="AA132" s="629">
        <v>100</v>
      </c>
      <c r="AB132" s="629">
        <v>1482</v>
      </c>
      <c r="AC132" s="169">
        <v>0.80800000000000005</v>
      </c>
      <c r="AD132" s="169"/>
      <c r="AF132" s="58" t="s">
        <v>76</v>
      </c>
      <c r="AG132" s="58">
        <v>40</v>
      </c>
      <c r="AH132" s="58">
        <v>50</v>
      </c>
      <c r="AI132" s="58">
        <v>60</v>
      </c>
    </row>
    <row r="133" spans="16:35">
      <c r="S133" s="170"/>
      <c r="T133" s="631">
        <v>101</v>
      </c>
      <c r="U133" s="631">
        <f t="shared" ref="U133:U142" si="11">Y132+0.0000001</f>
        <v>50.000000100000001</v>
      </c>
      <c r="V133" s="630" t="s">
        <v>890</v>
      </c>
      <c r="W133" s="630" t="s">
        <v>80</v>
      </c>
      <c r="X133" s="630" t="s">
        <v>76</v>
      </c>
      <c r="Y133" s="640">
        <f t="shared" si="10"/>
        <v>65</v>
      </c>
      <c r="Z133" s="631">
        <v>6</v>
      </c>
      <c r="AA133" s="631">
        <v>101</v>
      </c>
      <c r="AB133" s="631">
        <v>2353</v>
      </c>
      <c r="AC133" s="169">
        <v>0.50800000000000001</v>
      </c>
      <c r="AD133" s="169"/>
      <c r="AF133" s="62" t="s">
        <v>80</v>
      </c>
      <c r="AG133" s="62">
        <v>55</v>
      </c>
      <c r="AH133" s="62">
        <v>65</v>
      </c>
      <c r="AI133" s="62">
        <v>75</v>
      </c>
    </row>
    <row r="134" spans="16:35">
      <c r="S134" s="170"/>
      <c r="T134" s="631">
        <v>102</v>
      </c>
      <c r="U134" s="631">
        <f t="shared" si="11"/>
        <v>65.000000099999994</v>
      </c>
      <c r="V134" s="630" t="s">
        <v>891</v>
      </c>
      <c r="W134" s="630" t="s">
        <v>83</v>
      </c>
      <c r="X134" s="630" t="s">
        <v>80</v>
      </c>
      <c r="Y134" s="640">
        <f t="shared" si="10"/>
        <v>90</v>
      </c>
      <c r="Z134" s="631">
        <v>8</v>
      </c>
      <c r="AA134" s="631">
        <v>102</v>
      </c>
      <c r="AB134" s="631">
        <v>3734</v>
      </c>
      <c r="AC134" s="169">
        <v>0.31900000000000001</v>
      </c>
      <c r="AD134" s="169"/>
      <c r="AF134" s="62" t="s">
        <v>83</v>
      </c>
      <c r="AG134" s="62">
        <v>75</v>
      </c>
      <c r="AH134" s="62">
        <v>90</v>
      </c>
      <c r="AI134" s="62">
        <v>100</v>
      </c>
    </row>
    <row r="135" spans="16:35">
      <c r="S135" s="170"/>
      <c r="T135" s="631">
        <v>103</v>
      </c>
      <c r="U135" s="631">
        <f t="shared" si="11"/>
        <v>90.000000099999994</v>
      </c>
      <c r="V135" s="630" t="s">
        <v>919</v>
      </c>
      <c r="W135" s="630" t="s">
        <v>87</v>
      </c>
      <c r="X135" s="630" t="s">
        <v>80</v>
      </c>
      <c r="Y135" s="640">
        <f t="shared" si="10"/>
        <v>100</v>
      </c>
      <c r="Z135" s="631">
        <v>9</v>
      </c>
      <c r="AA135" s="631">
        <v>103</v>
      </c>
      <c r="AB135" s="631">
        <v>4686</v>
      </c>
      <c r="AC135" s="169">
        <v>0.253</v>
      </c>
      <c r="AD135" s="169"/>
      <c r="AF135" s="62" t="s">
        <v>87</v>
      </c>
      <c r="AG135" s="62">
        <v>85</v>
      </c>
      <c r="AH135" s="62">
        <v>100</v>
      </c>
      <c r="AI135" s="62">
        <v>115</v>
      </c>
    </row>
    <row r="136" spans="16:35">
      <c r="S136" s="170"/>
      <c r="T136" s="631">
        <v>104</v>
      </c>
      <c r="U136" s="631">
        <f t="shared" si="11"/>
        <v>100.00000009999999</v>
      </c>
      <c r="V136" s="630" t="s">
        <v>920</v>
      </c>
      <c r="W136" s="630" t="s">
        <v>93</v>
      </c>
      <c r="X136" s="630" t="s">
        <v>80</v>
      </c>
      <c r="Y136" s="640">
        <f t="shared" si="10"/>
        <v>120</v>
      </c>
      <c r="Z136" s="631">
        <v>10</v>
      </c>
      <c r="AA136" s="631">
        <v>104</v>
      </c>
      <c r="AB136" s="631">
        <v>5852</v>
      </c>
      <c r="AC136" s="169">
        <v>0.20100000000000001</v>
      </c>
      <c r="AD136" s="169"/>
      <c r="AF136" s="62" t="s">
        <v>93</v>
      </c>
      <c r="AG136" s="62">
        <v>100</v>
      </c>
      <c r="AH136" s="62">
        <v>120</v>
      </c>
      <c r="AI136" s="62">
        <v>135</v>
      </c>
    </row>
    <row r="137" spans="16:35">
      <c r="S137" s="170"/>
      <c r="T137" s="631">
        <v>105</v>
      </c>
      <c r="U137" s="631">
        <f t="shared" si="11"/>
        <v>120.00000009999999</v>
      </c>
      <c r="V137" s="630" t="s">
        <v>921</v>
      </c>
      <c r="W137" s="630" t="s">
        <v>97</v>
      </c>
      <c r="X137" s="630" t="s">
        <v>80</v>
      </c>
      <c r="Y137" s="640">
        <f t="shared" si="10"/>
        <v>135</v>
      </c>
      <c r="Z137" s="631">
        <v>11</v>
      </c>
      <c r="AA137" s="631">
        <v>105</v>
      </c>
      <c r="AB137" s="631">
        <v>7327</v>
      </c>
      <c r="AC137" s="169">
        <v>0.159</v>
      </c>
      <c r="AD137" s="169"/>
      <c r="AF137" s="62" t="s">
        <v>97</v>
      </c>
      <c r="AG137" s="62">
        <v>115</v>
      </c>
      <c r="AH137" s="62">
        <v>135</v>
      </c>
      <c r="AI137" s="62">
        <v>150</v>
      </c>
    </row>
    <row r="138" spans="16:35">
      <c r="S138" s="170"/>
      <c r="T138" s="631">
        <v>106</v>
      </c>
      <c r="U138" s="631">
        <f t="shared" si="11"/>
        <v>135.00000009999999</v>
      </c>
      <c r="V138" s="630" t="s">
        <v>922</v>
      </c>
      <c r="W138" s="630" t="s">
        <v>101</v>
      </c>
      <c r="X138" s="630" t="s">
        <v>80</v>
      </c>
      <c r="Y138" s="640">
        <f t="shared" si="10"/>
        <v>155</v>
      </c>
      <c r="Z138" s="631">
        <v>12</v>
      </c>
      <c r="AA138" s="631">
        <v>106</v>
      </c>
      <c r="AB138" s="631">
        <v>9077</v>
      </c>
      <c r="AC138" s="169">
        <v>0.126</v>
      </c>
      <c r="AD138" s="169"/>
      <c r="AF138" s="62" t="s">
        <v>101</v>
      </c>
      <c r="AG138" s="62">
        <v>130</v>
      </c>
      <c r="AH138" s="62">
        <v>155</v>
      </c>
      <c r="AI138" s="62">
        <v>175</v>
      </c>
    </row>
    <row r="139" spans="16:35">
      <c r="S139" s="170"/>
      <c r="T139" s="631">
        <v>107</v>
      </c>
      <c r="U139" s="631">
        <f t="shared" si="11"/>
        <v>155.00000009999999</v>
      </c>
      <c r="V139" s="630" t="s">
        <v>923</v>
      </c>
      <c r="W139" s="630" t="s">
        <v>103</v>
      </c>
      <c r="X139" s="630" t="s">
        <v>83</v>
      </c>
      <c r="Y139" s="640">
        <f t="shared" si="10"/>
        <v>180</v>
      </c>
      <c r="Z139" s="631">
        <v>13</v>
      </c>
      <c r="AA139" s="631">
        <v>107</v>
      </c>
      <c r="AB139" s="631">
        <v>11185</v>
      </c>
      <c r="AC139" s="169">
        <v>0.1</v>
      </c>
      <c r="AD139" s="169"/>
      <c r="AF139" s="62" t="s">
        <v>103</v>
      </c>
      <c r="AG139" s="62">
        <v>150</v>
      </c>
      <c r="AH139" s="62">
        <v>180</v>
      </c>
      <c r="AI139" s="62">
        <v>205</v>
      </c>
    </row>
    <row r="140" spans="16:35">
      <c r="S140" s="170"/>
      <c r="T140" s="631">
        <v>108</v>
      </c>
      <c r="U140" s="631">
        <f t="shared" si="11"/>
        <v>180.00000009999999</v>
      </c>
      <c r="V140" s="630" t="s">
        <v>924</v>
      </c>
      <c r="W140" s="630" t="s">
        <v>106</v>
      </c>
      <c r="X140" s="630" t="s">
        <v>87</v>
      </c>
      <c r="Y140" s="640">
        <f t="shared" si="10"/>
        <v>205</v>
      </c>
      <c r="Z140" s="631">
        <v>14</v>
      </c>
      <c r="AA140" s="631">
        <v>108</v>
      </c>
      <c r="AB140" s="631">
        <v>12797</v>
      </c>
      <c r="AC140" s="169">
        <v>8.4699999999999998E-2</v>
      </c>
      <c r="AD140" s="169"/>
      <c r="AF140" s="62" t="s">
        <v>106</v>
      </c>
      <c r="AG140" s="62">
        <v>170</v>
      </c>
      <c r="AH140" s="62">
        <v>205</v>
      </c>
      <c r="AI140" s="62">
        <v>230</v>
      </c>
    </row>
    <row r="141" spans="16:35">
      <c r="S141" s="170"/>
      <c r="T141" s="631">
        <v>109</v>
      </c>
      <c r="U141" s="631">
        <f t="shared" si="11"/>
        <v>205.00000009999999</v>
      </c>
      <c r="V141" s="630" t="s">
        <v>925</v>
      </c>
      <c r="W141" s="630" t="s">
        <v>112</v>
      </c>
      <c r="X141" s="630" t="s">
        <v>93</v>
      </c>
      <c r="Y141" s="640">
        <f t="shared" si="10"/>
        <v>250</v>
      </c>
      <c r="Z141" s="631">
        <v>16</v>
      </c>
      <c r="AA141" s="631">
        <v>109</v>
      </c>
      <c r="AB141" s="631">
        <v>16795</v>
      </c>
      <c r="AC141" s="169">
        <v>6.0499999999999998E-2</v>
      </c>
      <c r="AD141" s="169"/>
      <c r="AF141" s="57" t="s">
        <v>112</v>
      </c>
      <c r="AG141" s="57">
        <v>210</v>
      </c>
      <c r="AH141" s="57">
        <v>250</v>
      </c>
      <c r="AI141" s="57">
        <v>280</v>
      </c>
    </row>
    <row r="142" spans="16:35">
      <c r="S142" s="170"/>
      <c r="T142" s="633">
        <v>110</v>
      </c>
      <c r="U142" s="633">
        <f t="shared" si="11"/>
        <v>250.00000009999999</v>
      </c>
      <c r="V142" s="632" t="s">
        <v>877</v>
      </c>
      <c r="W142" s="632" t="s">
        <v>877</v>
      </c>
      <c r="X142" s="632" t="s">
        <v>877</v>
      </c>
      <c r="Y142" s="641">
        <f>Y141</f>
        <v>250</v>
      </c>
      <c r="Z142" s="633" t="s">
        <v>877</v>
      </c>
      <c r="AA142" s="633">
        <v>110</v>
      </c>
      <c r="AB142" s="642" t="s">
        <v>877</v>
      </c>
      <c r="AC142" s="642" t="s">
        <v>877</v>
      </c>
      <c r="AD142" s="169"/>
    </row>
    <row r="143" spans="16:35">
      <c r="S143" s="170"/>
      <c r="T143" s="166"/>
      <c r="U143" s="166"/>
      <c r="V143" s="635"/>
      <c r="W143" s="635"/>
      <c r="X143" s="635"/>
      <c r="Y143" s="166"/>
      <c r="Z143" s="166"/>
      <c r="AA143" s="166"/>
      <c r="AB143" s="166"/>
      <c r="AC143" s="166"/>
      <c r="AD143" s="169"/>
    </row>
    <row r="144" spans="16:35">
      <c r="S144" s="170"/>
      <c r="T144" s="166">
        <f>VLOOKUP(AA144,T132:AA142,1)</f>
        <v>100</v>
      </c>
      <c r="U144" s="166"/>
      <c r="V144" s="166" t="str">
        <f>VLOOKUP(Q129,U132:AB142,2)</f>
        <v>6-6-6-6-6</v>
      </c>
      <c r="W144" s="166" t="str">
        <f>VLOOKUP(Q129,U132:AB142,3)</f>
        <v>#6</v>
      </c>
      <c r="X144" s="166" t="str">
        <f>VLOOKUP(Q129,U132:AB142,4)</f>
        <v>#6</v>
      </c>
      <c r="Y144" s="166">
        <f>VLOOKUP(Q129,U132:AB142,5)</f>
        <v>50</v>
      </c>
      <c r="Z144" s="166">
        <f>VLOOKUP(Q129,U132:AB142,6)</f>
        <v>5</v>
      </c>
      <c r="AA144" s="166">
        <f>VLOOKUP(Q129,U132:AB142,7)</f>
        <v>100</v>
      </c>
      <c r="AB144" s="166">
        <f>VLOOKUP(Q129,U132:AB142,8)</f>
        <v>1482</v>
      </c>
      <c r="AC144" s="166">
        <f>VLOOKUP(Q129,U132:AC142,9)</f>
        <v>0.80800000000000005</v>
      </c>
      <c r="AD144" s="169"/>
    </row>
    <row r="145" spans="16:36">
      <c r="S145" s="170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9"/>
    </row>
    <row r="146" spans="16:36">
      <c r="S146" s="170"/>
      <c r="T146" s="166"/>
      <c r="U146" s="166"/>
      <c r="V146" s="166" t="s">
        <v>916</v>
      </c>
      <c r="W146" s="166"/>
      <c r="X146" s="166"/>
      <c r="Y146" s="166"/>
      <c r="Z146" s="166"/>
      <c r="AA146" s="166" t="str">
        <f>CONCATENATE(V146,W146,X146,Y146)</f>
        <v xml:space="preserve"> MC CABLE</v>
      </c>
      <c r="AB146" s="166"/>
      <c r="AC146" s="166"/>
      <c r="AD146" s="169"/>
    </row>
    <row r="147" spans="16:36">
      <c r="S147" s="170"/>
      <c r="T147" s="166"/>
      <c r="U147" s="166"/>
      <c r="V147" s="166" t="s">
        <v>917</v>
      </c>
      <c r="W147" s="166" t="str">
        <f>W144</f>
        <v>#6</v>
      </c>
      <c r="X147" s="166" t="s">
        <v>641</v>
      </c>
      <c r="Y147" s="166" t="s">
        <v>12</v>
      </c>
      <c r="Z147" s="166" t="s">
        <v>12</v>
      </c>
      <c r="AA147" s="166" t="str">
        <f>CONCATENATE(V147,W147,X147,Y147,Z147)</f>
        <v xml:space="preserve"> 4-#6 AL  </v>
      </c>
      <c r="AB147" s="166"/>
      <c r="AC147" s="166"/>
      <c r="AD147" s="169"/>
    </row>
    <row r="148" spans="16:36">
      <c r="S148" s="170"/>
      <c r="T148" s="166"/>
      <c r="U148" s="166"/>
      <c r="V148" s="166" t="s">
        <v>901</v>
      </c>
      <c r="W148" s="166" t="str">
        <f>X144</f>
        <v>#6</v>
      </c>
      <c r="X148" s="166" t="s">
        <v>825</v>
      </c>
      <c r="Y148" s="166"/>
      <c r="Z148" s="166"/>
      <c r="AA148" s="166" t="str">
        <f>CONCATENATE(V148,W148,X148,Y148,Z148)</f>
        <v xml:space="preserve"> 1-#6 GND</v>
      </c>
      <c r="AB148" s="166"/>
      <c r="AC148" s="166"/>
      <c r="AD148" s="169"/>
    </row>
    <row r="149" spans="16:36">
      <c r="S149" s="636"/>
      <c r="T149" s="637"/>
      <c r="U149" s="637"/>
      <c r="V149" s="637"/>
      <c r="W149" s="637"/>
      <c r="X149" s="637"/>
      <c r="Y149" s="637"/>
      <c r="Z149" s="637"/>
      <c r="AA149" s="637"/>
      <c r="AB149" s="637"/>
      <c r="AC149" s="637"/>
      <c r="AD149" s="638"/>
    </row>
    <row r="150" spans="16:36">
      <c r="AJ150" s="1"/>
    </row>
    <row r="153" spans="16:36">
      <c r="S153" s="166" t="s">
        <v>926</v>
      </c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</row>
    <row r="154" spans="16:36">
      <c r="S154" s="634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4"/>
      <c r="AF154" s="24" t="s">
        <v>72</v>
      </c>
      <c r="AG154" s="1"/>
      <c r="AH154" s="1"/>
      <c r="AI154" s="1"/>
    </row>
    <row r="155" spans="16:36">
      <c r="P155" s="229" t="s">
        <v>48</v>
      </c>
      <c r="Q155" s="229">
        <f>B6</f>
        <v>0</v>
      </c>
      <c r="S155" s="170"/>
      <c r="T155" s="629" t="s">
        <v>875</v>
      </c>
      <c r="U155" s="629" t="s">
        <v>30</v>
      </c>
      <c r="V155" s="58" t="s">
        <v>68</v>
      </c>
      <c r="W155" s="58" t="s">
        <v>68</v>
      </c>
      <c r="X155" s="58" t="s">
        <v>34</v>
      </c>
      <c r="Y155" s="639" t="str">
        <f>IF($Q$156=60,AG155,IF($Q$156=75,AH155,IF($Q$156=90,AI155)))</f>
        <v>75 C</v>
      </c>
      <c r="Z155" s="58" t="s">
        <v>68</v>
      </c>
      <c r="AA155" s="629" t="s">
        <v>875</v>
      </c>
      <c r="AB155" s="58" t="s">
        <v>886</v>
      </c>
      <c r="AC155" s="58" t="s">
        <v>179</v>
      </c>
      <c r="AD155" s="169"/>
      <c r="AF155" s="58" t="s">
        <v>68</v>
      </c>
      <c r="AG155" s="58" t="s">
        <v>69</v>
      </c>
      <c r="AH155" s="58" t="s">
        <v>70</v>
      </c>
      <c r="AI155" s="58" t="s">
        <v>71</v>
      </c>
    </row>
    <row r="156" spans="16:36">
      <c r="P156" s="229" t="s">
        <v>905</v>
      </c>
      <c r="Q156" s="229">
        <f>B7</f>
        <v>75</v>
      </c>
      <c r="S156" s="170"/>
      <c r="T156" s="631" t="s">
        <v>876</v>
      </c>
      <c r="U156" s="631"/>
      <c r="V156" s="62" t="s">
        <v>38</v>
      </c>
      <c r="W156" s="62" t="s">
        <v>38</v>
      </c>
      <c r="X156" s="62" t="s">
        <v>38</v>
      </c>
      <c r="Y156" s="62" t="s">
        <v>48</v>
      </c>
      <c r="Z156" s="62" t="s">
        <v>38</v>
      </c>
      <c r="AA156" s="631" t="s">
        <v>876</v>
      </c>
      <c r="AB156" s="62" t="s">
        <v>887</v>
      </c>
      <c r="AC156" s="62" t="s">
        <v>182</v>
      </c>
      <c r="AD156" s="169"/>
      <c r="AF156" s="62" t="s">
        <v>38</v>
      </c>
      <c r="AG156" s="62" t="s">
        <v>48</v>
      </c>
      <c r="AH156" s="62" t="s">
        <v>48</v>
      </c>
      <c r="AI156" s="62" t="s">
        <v>48</v>
      </c>
    </row>
    <row r="157" spans="16:36">
      <c r="S157" s="170"/>
      <c r="T157" s="633"/>
      <c r="U157" s="633"/>
      <c r="V157" s="62" t="s">
        <v>74</v>
      </c>
      <c r="W157" s="62"/>
      <c r="X157" s="62"/>
      <c r="Y157" s="62" t="s">
        <v>77</v>
      </c>
      <c r="Z157" s="62" t="s">
        <v>390</v>
      </c>
      <c r="AA157" s="633"/>
      <c r="AB157" s="57"/>
      <c r="AC157" s="57" t="s">
        <v>60</v>
      </c>
      <c r="AD157" s="169"/>
      <c r="AF157" s="62" t="s">
        <v>74</v>
      </c>
      <c r="AG157" s="62" t="s">
        <v>60</v>
      </c>
      <c r="AH157" s="62" t="s">
        <v>60</v>
      </c>
      <c r="AI157" s="62" t="s">
        <v>60</v>
      </c>
    </row>
    <row r="158" spans="16:36">
      <c r="S158" s="170"/>
      <c r="T158" s="629">
        <v>100</v>
      </c>
      <c r="U158" s="629">
        <v>0</v>
      </c>
      <c r="V158" s="628" t="s">
        <v>937</v>
      </c>
      <c r="W158" s="628" t="s">
        <v>80</v>
      </c>
      <c r="X158" s="628" t="s">
        <v>173</v>
      </c>
      <c r="Y158" s="639">
        <f t="shared" ref="Y158:Y167" si="12">IF($Q$156=60,AG158,IF($Q$156=75,AH158,IF($Q$156=90,AI158)))</f>
        <v>85</v>
      </c>
      <c r="Z158" s="629">
        <v>6</v>
      </c>
      <c r="AA158" s="629">
        <v>100</v>
      </c>
      <c r="AB158" s="629">
        <v>3830</v>
      </c>
      <c r="AC158" s="169">
        <v>0.308</v>
      </c>
      <c r="AD158" s="169"/>
      <c r="AF158" s="62" t="s">
        <v>80</v>
      </c>
      <c r="AG158" s="62">
        <v>70</v>
      </c>
      <c r="AH158" s="62">
        <v>85</v>
      </c>
      <c r="AI158" s="62">
        <v>95</v>
      </c>
    </row>
    <row r="159" spans="16:36">
      <c r="S159" s="170"/>
      <c r="T159" s="631">
        <v>101</v>
      </c>
      <c r="U159" s="631">
        <f t="shared" ref="U159:U168" si="13">Y158+0.0000001</f>
        <v>85.000000099999994</v>
      </c>
      <c r="V159" s="630" t="s">
        <v>938</v>
      </c>
      <c r="W159" s="630" t="s">
        <v>84</v>
      </c>
      <c r="X159" s="630" t="s">
        <v>76</v>
      </c>
      <c r="Y159" s="640">
        <f t="shared" si="12"/>
        <v>100</v>
      </c>
      <c r="Z159" s="631">
        <v>7</v>
      </c>
      <c r="AA159" s="631">
        <v>101</v>
      </c>
      <c r="AB159" s="631">
        <v>4820</v>
      </c>
      <c r="AC159" s="169">
        <v>0.245</v>
      </c>
      <c r="AD159" s="169"/>
      <c r="AF159" s="62" t="s">
        <v>84</v>
      </c>
      <c r="AG159" s="62">
        <v>85</v>
      </c>
      <c r="AH159" s="62">
        <v>100</v>
      </c>
      <c r="AI159" s="62">
        <v>110</v>
      </c>
    </row>
    <row r="160" spans="16:36">
      <c r="S160" s="170"/>
      <c r="T160" s="631">
        <v>102</v>
      </c>
      <c r="U160" s="631">
        <f t="shared" si="13"/>
        <v>100.00000009999999</v>
      </c>
      <c r="V160" s="630" t="s">
        <v>939</v>
      </c>
      <c r="W160" s="630" t="s">
        <v>83</v>
      </c>
      <c r="X160" s="630" t="s">
        <v>76</v>
      </c>
      <c r="Y160" s="640">
        <f t="shared" si="12"/>
        <v>115</v>
      </c>
      <c r="Z160" s="631">
        <v>8</v>
      </c>
      <c r="AA160" s="631">
        <v>102</v>
      </c>
      <c r="AB160" s="631">
        <v>5989</v>
      </c>
      <c r="AC160" s="169">
        <v>0.19400000000000001</v>
      </c>
      <c r="AD160" s="169"/>
      <c r="AF160" s="62" t="s">
        <v>83</v>
      </c>
      <c r="AG160" s="62">
        <v>95</v>
      </c>
      <c r="AH160" s="62">
        <v>115</v>
      </c>
      <c r="AI160" s="62">
        <v>130</v>
      </c>
    </row>
    <row r="161" spans="19:35">
      <c r="S161" s="170"/>
      <c r="T161" s="631">
        <v>103</v>
      </c>
      <c r="U161" s="631">
        <f t="shared" si="13"/>
        <v>115.00000009999999</v>
      </c>
      <c r="V161" s="630" t="s">
        <v>940</v>
      </c>
      <c r="W161" s="630" t="s">
        <v>87</v>
      </c>
      <c r="X161" s="630" t="s">
        <v>76</v>
      </c>
      <c r="Y161" s="640">
        <f t="shared" si="12"/>
        <v>130</v>
      </c>
      <c r="Z161" s="631">
        <v>9</v>
      </c>
      <c r="AA161" s="631">
        <v>103</v>
      </c>
      <c r="AB161" s="631">
        <v>7454</v>
      </c>
      <c r="AC161" s="169">
        <v>0.154</v>
      </c>
      <c r="AD161" s="169"/>
      <c r="AF161" s="62" t="s">
        <v>87</v>
      </c>
      <c r="AG161" s="62">
        <v>110</v>
      </c>
      <c r="AH161" s="62">
        <v>130</v>
      </c>
      <c r="AI161" s="62">
        <v>150</v>
      </c>
    </row>
    <row r="162" spans="19:35">
      <c r="S162" s="170"/>
      <c r="T162" s="631">
        <v>104</v>
      </c>
      <c r="U162" s="631">
        <f t="shared" si="13"/>
        <v>130.00000009999999</v>
      </c>
      <c r="V162" s="630" t="s">
        <v>941</v>
      </c>
      <c r="W162" s="630" t="s">
        <v>93</v>
      </c>
      <c r="X162" s="630" t="s">
        <v>76</v>
      </c>
      <c r="Y162" s="640">
        <f t="shared" si="12"/>
        <v>150</v>
      </c>
      <c r="Z162" s="631">
        <v>10</v>
      </c>
      <c r="AA162" s="631">
        <v>104</v>
      </c>
      <c r="AB162" s="631">
        <v>9210</v>
      </c>
      <c r="AC162" s="169">
        <v>0.122</v>
      </c>
      <c r="AD162" s="169"/>
      <c r="AF162" s="62" t="s">
        <v>93</v>
      </c>
      <c r="AG162" s="62">
        <v>125</v>
      </c>
      <c r="AH162" s="62">
        <v>150</v>
      </c>
      <c r="AI162" s="62">
        <v>170</v>
      </c>
    </row>
    <row r="163" spans="19:35">
      <c r="S163" s="170"/>
      <c r="T163" s="631">
        <v>105</v>
      </c>
      <c r="U163" s="631">
        <f t="shared" si="13"/>
        <v>150.00000009999999</v>
      </c>
      <c r="V163" s="630" t="s">
        <v>942</v>
      </c>
      <c r="W163" s="630" t="s">
        <v>97</v>
      </c>
      <c r="X163" s="630" t="s">
        <v>76</v>
      </c>
      <c r="Y163" s="640">
        <f t="shared" si="12"/>
        <v>175</v>
      </c>
      <c r="Z163" s="631">
        <v>11</v>
      </c>
      <c r="AA163" s="631">
        <v>105</v>
      </c>
      <c r="AB163" s="631">
        <v>11245</v>
      </c>
      <c r="AC163" s="169">
        <v>9.6699999999999994E-2</v>
      </c>
      <c r="AD163" s="169"/>
      <c r="AF163" s="62" t="s">
        <v>97</v>
      </c>
      <c r="AG163" s="62">
        <v>145</v>
      </c>
      <c r="AH163" s="62">
        <v>175</v>
      </c>
      <c r="AI163" s="62">
        <v>195</v>
      </c>
    </row>
    <row r="164" spans="19:35">
      <c r="S164" s="170"/>
      <c r="T164" s="631">
        <v>106</v>
      </c>
      <c r="U164" s="631">
        <f t="shared" si="13"/>
        <v>175.00000009999999</v>
      </c>
      <c r="V164" s="630" t="s">
        <v>912</v>
      </c>
      <c r="W164" s="630" t="s">
        <v>101</v>
      </c>
      <c r="X164" s="630" t="s">
        <v>80</v>
      </c>
      <c r="Y164" s="640">
        <f t="shared" si="12"/>
        <v>200</v>
      </c>
      <c r="Z164" s="631">
        <v>12</v>
      </c>
      <c r="AA164" s="631">
        <v>106</v>
      </c>
      <c r="AB164" s="631">
        <v>13656</v>
      </c>
      <c r="AC164" s="169">
        <v>7.6600000000000001E-2</v>
      </c>
      <c r="AD164" s="169"/>
      <c r="AF164" s="62" t="s">
        <v>101</v>
      </c>
      <c r="AG164" s="62">
        <v>165</v>
      </c>
      <c r="AH164" s="62">
        <v>200</v>
      </c>
      <c r="AI164" s="62">
        <v>225</v>
      </c>
    </row>
    <row r="165" spans="19:35">
      <c r="S165" s="170"/>
      <c r="T165" s="631">
        <v>107</v>
      </c>
      <c r="U165" s="631">
        <f t="shared" si="13"/>
        <v>200.00000009999999</v>
      </c>
      <c r="V165" s="630" t="s">
        <v>943</v>
      </c>
      <c r="W165" s="630" t="s">
        <v>103</v>
      </c>
      <c r="X165" s="630" t="s">
        <v>80</v>
      </c>
      <c r="Y165" s="640">
        <f t="shared" si="12"/>
        <v>230</v>
      </c>
      <c r="Z165" s="631">
        <v>13</v>
      </c>
      <c r="AA165" s="631">
        <v>107</v>
      </c>
      <c r="AB165" s="631">
        <v>16392</v>
      </c>
      <c r="AC165" s="169">
        <v>6.08E-2</v>
      </c>
      <c r="AD165" s="169"/>
      <c r="AF165" s="62" t="s">
        <v>103</v>
      </c>
      <c r="AG165" s="62">
        <v>195</v>
      </c>
      <c r="AH165" s="62">
        <v>230</v>
      </c>
      <c r="AI165" s="62">
        <v>260</v>
      </c>
    </row>
    <row r="166" spans="19:35">
      <c r="S166" s="170"/>
      <c r="T166" s="631">
        <v>108</v>
      </c>
      <c r="U166" s="631">
        <f t="shared" si="13"/>
        <v>230.00000009999999</v>
      </c>
      <c r="V166" s="630" t="s">
        <v>944</v>
      </c>
      <c r="W166" s="630" t="s">
        <v>106</v>
      </c>
      <c r="X166" s="630" t="s">
        <v>80</v>
      </c>
      <c r="Y166" s="640">
        <f t="shared" si="12"/>
        <v>255</v>
      </c>
      <c r="Z166" s="631">
        <v>14</v>
      </c>
      <c r="AA166" s="631">
        <v>108</v>
      </c>
      <c r="AB166" s="631">
        <v>18311</v>
      </c>
      <c r="AC166" s="169">
        <v>5.1499999999999997E-2</v>
      </c>
      <c r="AD166" s="169"/>
      <c r="AF166" s="62" t="s">
        <v>106</v>
      </c>
      <c r="AG166" s="62">
        <v>215</v>
      </c>
      <c r="AH166" s="62">
        <v>255</v>
      </c>
      <c r="AI166" s="62">
        <v>290</v>
      </c>
    </row>
    <row r="167" spans="19:35">
      <c r="S167" s="170"/>
      <c r="T167" s="631">
        <v>109</v>
      </c>
      <c r="U167" s="631">
        <f t="shared" si="13"/>
        <v>255.00000009999999</v>
      </c>
      <c r="V167" s="630" t="s">
        <v>945</v>
      </c>
      <c r="W167" s="630" t="s">
        <v>112</v>
      </c>
      <c r="X167" s="630" t="s">
        <v>84</v>
      </c>
      <c r="Y167" s="640">
        <f t="shared" si="12"/>
        <v>310</v>
      </c>
      <c r="Z167" s="631">
        <v>16</v>
      </c>
      <c r="AA167" s="631">
        <v>109</v>
      </c>
      <c r="AB167" s="631">
        <v>22646</v>
      </c>
      <c r="AC167" s="169">
        <v>3.6700000000000003E-2</v>
      </c>
      <c r="AD167" s="169"/>
      <c r="AF167" s="57" t="s">
        <v>112</v>
      </c>
      <c r="AG167" s="57">
        <v>260</v>
      </c>
      <c r="AH167" s="57">
        <v>310</v>
      </c>
      <c r="AI167" s="57">
        <v>350</v>
      </c>
    </row>
    <row r="168" spans="19:35">
      <c r="S168" s="170"/>
      <c r="T168" s="633">
        <v>110</v>
      </c>
      <c r="U168" s="633">
        <f t="shared" si="13"/>
        <v>310.00000010000002</v>
      </c>
      <c r="V168" s="632" t="s">
        <v>877</v>
      </c>
      <c r="W168" s="632" t="s">
        <v>877</v>
      </c>
      <c r="X168" s="632" t="s">
        <v>877</v>
      </c>
      <c r="Y168" s="641">
        <f>Y167</f>
        <v>310</v>
      </c>
      <c r="Z168" s="633" t="s">
        <v>877</v>
      </c>
      <c r="AA168" s="633">
        <v>110</v>
      </c>
      <c r="AB168" s="642" t="s">
        <v>877</v>
      </c>
      <c r="AC168" s="642" t="s">
        <v>877</v>
      </c>
      <c r="AD168" s="169"/>
    </row>
    <row r="169" spans="19:35">
      <c r="S169" s="170"/>
      <c r="T169" s="166"/>
      <c r="U169" s="166"/>
      <c r="V169" s="635"/>
      <c r="W169" s="635"/>
      <c r="X169" s="635"/>
      <c r="Y169" s="166"/>
      <c r="Z169" s="166"/>
      <c r="AA169" s="166"/>
      <c r="AB169" s="166"/>
      <c r="AC169" s="166"/>
      <c r="AD169" s="169"/>
    </row>
    <row r="170" spans="19:35">
      <c r="S170" s="170"/>
      <c r="T170" s="166">
        <f>VLOOKUP(AA170,T158:AA168,1)</f>
        <v>100</v>
      </c>
      <c r="U170" s="166"/>
      <c r="V170" s="166" t="str">
        <f>VLOOKUP(Q155,U158:AB168,2)</f>
        <v>4-4-4-8</v>
      </c>
      <c r="W170" s="166" t="str">
        <f>VLOOKUP(Q155,U158:AB168,3)</f>
        <v>#4</v>
      </c>
      <c r="X170" s="166" t="str">
        <f>VLOOKUP(Q155,U158:AB168,4)</f>
        <v>#8</v>
      </c>
      <c r="Y170" s="166">
        <f>VLOOKUP(Q155,U158:AB168,5)</f>
        <v>85</v>
      </c>
      <c r="Z170" s="166">
        <f>VLOOKUP(Q155,U158:AB168,6)</f>
        <v>6</v>
      </c>
      <c r="AA170" s="166">
        <f>VLOOKUP(Q155,U158:AB168,7)</f>
        <v>100</v>
      </c>
      <c r="AB170" s="166">
        <f>VLOOKUP(Q155,U158:AB168,8)</f>
        <v>3830</v>
      </c>
      <c r="AC170" s="166">
        <f>VLOOKUP(Q155,U158:AC168,9)</f>
        <v>0.308</v>
      </c>
      <c r="AD170" s="169"/>
    </row>
    <row r="171" spans="19:35">
      <c r="S171" s="170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9"/>
    </row>
    <row r="172" spans="19:35">
      <c r="S172" s="170"/>
      <c r="T172" s="166"/>
      <c r="U172" s="166"/>
      <c r="V172" s="166" t="s">
        <v>916</v>
      </c>
      <c r="W172" s="166"/>
      <c r="X172" s="166"/>
      <c r="Y172" s="166"/>
      <c r="Z172" s="166"/>
      <c r="AA172" s="166" t="str">
        <f>CONCATENATE(V172,W172,X172,Y172)</f>
        <v xml:space="preserve"> MC CABLE</v>
      </c>
      <c r="AB172" s="166"/>
      <c r="AC172" s="166"/>
      <c r="AD172" s="169"/>
    </row>
    <row r="173" spans="19:35">
      <c r="S173" s="170"/>
      <c r="T173" s="166"/>
      <c r="U173" s="166"/>
      <c r="V173" s="166" t="s">
        <v>900</v>
      </c>
      <c r="W173" s="166" t="str">
        <f>W170</f>
        <v>#4</v>
      </c>
      <c r="X173" s="166" t="s">
        <v>903</v>
      </c>
      <c r="Y173" s="166" t="s">
        <v>12</v>
      </c>
      <c r="Z173" s="166" t="s">
        <v>12</v>
      </c>
      <c r="AA173" s="166" t="str">
        <f>CONCATENATE(V173,W173,X173,Y173,Z173)</f>
        <v xml:space="preserve"> 3-#4 CU  </v>
      </c>
      <c r="AB173" s="166"/>
      <c r="AC173" s="166"/>
      <c r="AD173" s="169"/>
    </row>
    <row r="174" spans="19:35">
      <c r="S174" s="170"/>
      <c r="T174" s="166"/>
      <c r="U174" s="166"/>
      <c r="V174" s="166" t="s">
        <v>901</v>
      </c>
      <c r="W174" s="166" t="str">
        <f>X170</f>
        <v>#8</v>
      </c>
      <c r="X174" s="166" t="s">
        <v>825</v>
      </c>
      <c r="Y174" s="166"/>
      <c r="Z174" s="166"/>
      <c r="AA174" s="166" t="str">
        <f>CONCATENATE(V174,W174,X174,Y174,Z174)</f>
        <v xml:space="preserve"> 1-#8 GND</v>
      </c>
      <c r="AB174" s="166"/>
      <c r="AC174" s="166"/>
      <c r="AD174" s="169"/>
    </row>
    <row r="175" spans="19:35">
      <c r="S175" s="636"/>
      <c r="T175" s="637"/>
      <c r="U175" s="637"/>
      <c r="V175" s="637"/>
      <c r="W175" s="637"/>
      <c r="X175" s="637"/>
      <c r="Y175" s="637"/>
      <c r="Z175" s="637"/>
      <c r="AA175" s="637"/>
      <c r="AB175" s="637"/>
      <c r="AC175" s="637"/>
      <c r="AD175" s="638"/>
    </row>
    <row r="177" spans="16:36">
      <c r="AJ177" s="1"/>
    </row>
    <row r="180" spans="16:36">
      <c r="S180" s="166" t="s">
        <v>927</v>
      </c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</row>
    <row r="181" spans="16:36">
      <c r="S181" s="634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4"/>
      <c r="AF181" s="24" t="s">
        <v>72</v>
      </c>
      <c r="AG181" s="1"/>
      <c r="AH181" s="1"/>
      <c r="AI181" s="1"/>
    </row>
    <row r="182" spans="16:36">
      <c r="P182" s="229" t="s">
        <v>48</v>
      </c>
      <c r="Q182" s="229">
        <f>B6</f>
        <v>0</v>
      </c>
      <c r="S182" s="170"/>
      <c r="T182" s="629" t="s">
        <v>875</v>
      </c>
      <c r="U182" s="629" t="s">
        <v>30</v>
      </c>
      <c r="V182" s="58" t="s">
        <v>68</v>
      </c>
      <c r="W182" s="58" t="s">
        <v>68</v>
      </c>
      <c r="X182" s="58" t="s">
        <v>471</v>
      </c>
      <c r="Y182" s="639" t="str">
        <f>IF($Q$183=60,AG182,IF($Q$183=75,AH182,IF($Q$183=90,AI182)))</f>
        <v>75 C</v>
      </c>
      <c r="Z182" s="58" t="s">
        <v>68</v>
      </c>
      <c r="AA182" s="629" t="s">
        <v>875</v>
      </c>
      <c r="AB182" s="58" t="s">
        <v>886</v>
      </c>
      <c r="AC182" s="58" t="s">
        <v>179</v>
      </c>
      <c r="AD182" s="169"/>
      <c r="AF182" s="58" t="s">
        <v>68</v>
      </c>
      <c r="AG182" s="58" t="s">
        <v>69</v>
      </c>
      <c r="AH182" s="58" t="s">
        <v>70</v>
      </c>
      <c r="AI182" s="58" t="s">
        <v>71</v>
      </c>
    </row>
    <row r="183" spans="16:36">
      <c r="P183" s="229" t="s">
        <v>905</v>
      </c>
      <c r="Q183" s="229">
        <f>B7</f>
        <v>75</v>
      </c>
      <c r="S183" s="170"/>
      <c r="T183" s="631" t="s">
        <v>876</v>
      </c>
      <c r="U183" s="631"/>
      <c r="V183" s="62" t="s">
        <v>38</v>
      </c>
      <c r="W183" s="62" t="s">
        <v>38</v>
      </c>
      <c r="X183" s="62" t="s">
        <v>38</v>
      </c>
      <c r="Y183" s="62" t="s">
        <v>48</v>
      </c>
      <c r="Z183" s="62" t="s">
        <v>38</v>
      </c>
      <c r="AA183" s="631" t="s">
        <v>876</v>
      </c>
      <c r="AB183" s="62" t="s">
        <v>887</v>
      </c>
      <c r="AC183" s="62" t="s">
        <v>182</v>
      </c>
      <c r="AD183" s="169"/>
      <c r="AF183" s="62" t="s">
        <v>38</v>
      </c>
      <c r="AG183" s="62" t="s">
        <v>48</v>
      </c>
      <c r="AH183" s="62" t="s">
        <v>48</v>
      </c>
      <c r="AI183" s="62" t="s">
        <v>48</v>
      </c>
    </row>
    <row r="184" spans="16:36">
      <c r="S184" s="170"/>
      <c r="T184" s="633"/>
      <c r="U184" s="633"/>
      <c r="V184" s="62" t="s">
        <v>74</v>
      </c>
      <c r="W184" s="62"/>
      <c r="X184" s="62"/>
      <c r="Y184" s="62" t="s">
        <v>77</v>
      </c>
      <c r="Z184" s="62" t="s">
        <v>390</v>
      </c>
      <c r="AA184" s="633"/>
      <c r="AB184" s="57"/>
      <c r="AC184" s="57" t="s">
        <v>60</v>
      </c>
      <c r="AD184" s="169"/>
      <c r="AF184" s="62" t="s">
        <v>74</v>
      </c>
      <c r="AG184" s="62" t="s">
        <v>60</v>
      </c>
      <c r="AH184" s="62" t="s">
        <v>60</v>
      </c>
      <c r="AI184" s="62" t="s">
        <v>60</v>
      </c>
    </row>
    <row r="185" spans="16:36">
      <c r="S185" s="170"/>
      <c r="T185" s="629">
        <v>100</v>
      </c>
      <c r="U185" s="629">
        <v>0</v>
      </c>
      <c r="V185" s="628" t="s">
        <v>928</v>
      </c>
      <c r="W185" s="628" t="s">
        <v>80</v>
      </c>
      <c r="X185" s="628" t="s">
        <v>173</v>
      </c>
      <c r="Y185" s="639">
        <f t="shared" ref="Y185:Y194" si="14">IF($Q$183=60,AG185,IF($Q$183=75,AH185,IF($Q$183=90,AI185)))</f>
        <v>85</v>
      </c>
      <c r="Z185" s="629">
        <v>6</v>
      </c>
      <c r="AA185" s="629">
        <v>100</v>
      </c>
      <c r="AB185" s="629">
        <v>3830</v>
      </c>
      <c r="AC185" s="169">
        <v>0.308</v>
      </c>
      <c r="AD185" s="169"/>
      <c r="AF185" s="62" t="s">
        <v>80</v>
      </c>
      <c r="AG185" s="62">
        <v>70</v>
      </c>
      <c r="AH185" s="62">
        <v>85</v>
      </c>
      <c r="AI185" s="62">
        <v>95</v>
      </c>
    </row>
    <row r="186" spans="16:36">
      <c r="S186" s="170"/>
      <c r="T186" s="631">
        <v>101</v>
      </c>
      <c r="U186" s="631">
        <f t="shared" ref="U186:U195" si="15">Y185+0.0000001</f>
        <v>85.000000099999994</v>
      </c>
      <c r="V186" s="630" t="s">
        <v>929</v>
      </c>
      <c r="W186" s="630" t="s">
        <v>84</v>
      </c>
      <c r="X186" s="630" t="s">
        <v>76</v>
      </c>
      <c r="Y186" s="640">
        <f t="shared" si="14"/>
        <v>100</v>
      </c>
      <c r="Z186" s="631">
        <v>7</v>
      </c>
      <c r="AA186" s="631">
        <v>101</v>
      </c>
      <c r="AB186" s="631">
        <v>4820</v>
      </c>
      <c r="AC186" s="169">
        <v>0.245</v>
      </c>
      <c r="AD186" s="169"/>
      <c r="AF186" s="62" t="s">
        <v>84</v>
      </c>
      <c r="AG186" s="62">
        <v>85</v>
      </c>
      <c r="AH186" s="62">
        <v>100</v>
      </c>
      <c r="AI186" s="62">
        <v>110</v>
      </c>
    </row>
    <row r="187" spans="16:36">
      <c r="S187" s="170"/>
      <c r="T187" s="631">
        <v>102</v>
      </c>
      <c r="U187" s="631">
        <f t="shared" si="15"/>
        <v>100.00000009999999</v>
      </c>
      <c r="V187" s="630" t="s">
        <v>930</v>
      </c>
      <c r="W187" s="630" t="s">
        <v>83</v>
      </c>
      <c r="X187" s="630" t="s">
        <v>76</v>
      </c>
      <c r="Y187" s="640">
        <f t="shared" si="14"/>
        <v>115</v>
      </c>
      <c r="Z187" s="631">
        <v>8</v>
      </c>
      <c r="AA187" s="631">
        <v>102</v>
      </c>
      <c r="AB187" s="631">
        <v>5989</v>
      </c>
      <c r="AC187" s="169">
        <v>0.19400000000000001</v>
      </c>
      <c r="AD187" s="169"/>
      <c r="AF187" s="62" t="s">
        <v>83</v>
      </c>
      <c r="AG187" s="62">
        <v>95</v>
      </c>
      <c r="AH187" s="62">
        <v>115</v>
      </c>
      <c r="AI187" s="62">
        <v>130</v>
      </c>
    </row>
    <row r="188" spans="16:36">
      <c r="S188" s="170"/>
      <c r="T188" s="631">
        <v>103</v>
      </c>
      <c r="U188" s="631">
        <f t="shared" si="15"/>
        <v>115.00000009999999</v>
      </c>
      <c r="V188" s="630" t="s">
        <v>931</v>
      </c>
      <c r="W188" s="630" t="s">
        <v>87</v>
      </c>
      <c r="X188" s="630" t="s">
        <v>76</v>
      </c>
      <c r="Y188" s="640">
        <f t="shared" si="14"/>
        <v>130</v>
      </c>
      <c r="Z188" s="631">
        <v>9</v>
      </c>
      <c r="AA188" s="631">
        <v>103</v>
      </c>
      <c r="AB188" s="631">
        <v>7454</v>
      </c>
      <c r="AC188" s="169">
        <v>0.154</v>
      </c>
      <c r="AD188" s="169"/>
      <c r="AF188" s="62" t="s">
        <v>87</v>
      </c>
      <c r="AG188" s="62">
        <v>110</v>
      </c>
      <c r="AH188" s="62">
        <v>130</v>
      </c>
      <c r="AI188" s="62">
        <v>150</v>
      </c>
    </row>
    <row r="189" spans="16:36">
      <c r="S189" s="170"/>
      <c r="T189" s="631">
        <v>104</v>
      </c>
      <c r="U189" s="631">
        <f t="shared" si="15"/>
        <v>130.00000009999999</v>
      </c>
      <c r="V189" s="630" t="s">
        <v>932</v>
      </c>
      <c r="W189" s="630" t="s">
        <v>93</v>
      </c>
      <c r="X189" s="630" t="s">
        <v>76</v>
      </c>
      <c r="Y189" s="640">
        <f t="shared" si="14"/>
        <v>150</v>
      </c>
      <c r="Z189" s="631">
        <v>10</v>
      </c>
      <c r="AA189" s="631">
        <v>104</v>
      </c>
      <c r="AB189" s="631">
        <v>9210</v>
      </c>
      <c r="AC189" s="169">
        <v>0.122</v>
      </c>
      <c r="AD189" s="169"/>
      <c r="AF189" s="62" t="s">
        <v>93</v>
      </c>
      <c r="AG189" s="62">
        <v>125</v>
      </c>
      <c r="AH189" s="62">
        <v>150</v>
      </c>
      <c r="AI189" s="62">
        <v>170</v>
      </c>
    </row>
    <row r="190" spans="16:36">
      <c r="S190" s="170"/>
      <c r="T190" s="631">
        <v>105</v>
      </c>
      <c r="U190" s="631">
        <f t="shared" si="15"/>
        <v>150.00000009999999</v>
      </c>
      <c r="V190" s="630" t="s">
        <v>933</v>
      </c>
      <c r="W190" s="630" t="s">
        <v>97</v>
      </c>
      <c r="X190" s="630" t="s">
        <v>76</v>
      </c>
      <c r="Y190" s="640">
        <f t="shared" si="14"/>
        <v>175</v>
      </c>
      <c r="Z190" s="631">
        <v>11</v>
      </c>
      <c r="AA190" s="631">
        <v>105</v>
      </c>
      <c r="AB190" s="631">
        <v>11245</v>
      </c>
      <c r="AC190" s="169">
        <v>9.6699999999999994E-2</v>
      </c>
      <c r="AD190" s="169"/>
      <c r="AF190" s="62" t="s">
        <v>97</v>
      </c>
      <c r="AG190" s="62">
        <v>145</v>
      </c>
      <c r="AH190" s="62">
        <v>175</v>
      </c>
      <c r="AI190" s="62">
        <v>195</v>
      </c>
    </row>
    <row r="191" spans="16:36">
      <c r="S191" s="170"/>
      <c r="T191" s="631">
        <v>106</v>
      </c>
      <c r="U191" s="631">
        <f t="shared" si="15"/>
        <v>175.00000009999999</v>
      </c>
      <c r="V191" s="630" t="s">
        <v>922</v>
      </c>
      <c r="W191" s="630" t="s">
        <v>101</v>
      </c>
      <c r="X191" s="630" t="s">
        <v>80</v>
      </c>
      <c r="Y191" s="640">
        <f t="shared" si="14"/>
        <v>200</v>
      </c>
      <c r="Z191" s="631">
        <v>12</v>
      </c>
      <c r="AA191" s="631">
        <v>106</v>
      </c>
      <c r="AB191" s="631">
        <v>13656</v>
      </c>
      <c r="AC191" s="169">
        <v>7.6600000000000001E-2</v>
      </c>
      <c r="AD191" s="169"/>
      <c r="AF191" s="62" t="s">
        <v>101</v>
      </c>
      <c r="AG191" s="62">
        <v>165</v>
      </c>
      <c r="AH191" s="62">
        <v>200</v>
      </c>
      <c r="AI191" s="62">
        <v>225</v>
      </c>
    </row>
    <row r="192" spans="16:36">
      <c r="S192" s="170"/>
      <c r="T192" s="631">
        <v>107</v>
      </c>
      <c r="U192" s="631">
        <f t="shared" si="15"/>
        <v>200.00000009999999</v>
      </c>
      <c r="V192" s="630" t="s">
        <v>934</v>
      </c>
      <c r="W192" s="630" t="s">
        <v>103</v>
      </c>
      <c r="X192" s="630" t="s">
        <v>80</v>
      </c>
      <c r="Y192" s="640">
        <f t="shared" si="14"/>
        <v>230</v>
      </c>
      <c r="Z192" s="631">
        <v>13</v>
      </c>
      <c r="AA192" s="631">
        <v>107</v>
      </c>
      <c r="AB192" s="631">
        <v>16392</v>
      </c>
      <c r="AC192" s="169">
        <v>6.08E-2</v>
      </c>
      <c r="AD192" s="169"/>
      <c r="AF192" s="62" t="s">
        <v>103</v>
      </c>
      <c r="AG192" s="62">
        <v>195</v>
      </c>
      <c r="AH192" s="62">
        <v>230</v>
      </c>
      <c r="AI192" s="62">
        <v>260</v>
      </c>
    </row>
    <row r="193" spans="19:35">
      <c r="S193" s="170"/>
      <c r="T193" s="631">
        <v>108</v>
      </c>
      <c r="U193" s="631">
        <f t="shared" si="15"/>
        <v>230.00000009999999</v>
      </c>
      <c r="V193" s="630" t="s">
        <v>935</v>
      </c>
      <c r="W193" s="630" t="s">
        <v>106</v>
      </c>
      <c r="X193" s="630" t="s">
        <v>80</v>
      </c>
      <c r="Y193" s="640">
        <f t="shared" si="14"/>
        <v>255</v>
      </c>
      <c r="Z193" s="631">
        <v>14</v>
      </c>
      <c r="AA193" s="631">
        <v>108</v>
      </c>
      <c r="AB193" s="631">
        <v>18311</v>
      </c>
      <c r="AC193" s="169">
        <v>5.1499999999999997E-2</v>
      </c>
      <c r="AD193" s="169"/>
      <c r="AF193" s="62" t="s">
        <v>106</v>
      </c>
      <c r="AG193" s="62">
        <v>215</v>
      </c>
      <c r="AH193" s="62">
        <v>255</v>
      </c>
      <c r="AI193" s="62">
        <v>290</v>
      </c>
    </row>
    <row r="194" spans="19:35">
      <c r="S194" s="170"/>
      <c r="T194" s="631">
        <v>109</v>
      </c>
      <c r="U194" s="631">
        <f t="shared" si="15"/>
        <v>255.00000009999999</v>
      </c>
      <c r="V194" s="630" t="s">
        <v>936</v>
      </c>
      <c r="W194" s="630" t="s">
        <v>112</v>
      </c>
      <c r="X194" s="630" t="s">
        <v>84</v>
      </c>
      <c r="Y194" s="640">
        <f t="shared" si="14"/>
        <v>310</v>
      </c>
      <c r="Z194" s="631">
        <v>16</v>
      </c>
      <c r="AA194" s="631">
        <v>109</v>
      </c>
      <c r="AB194" s="631">
        <v>22646</v>
      </c>
      <c r="AC194" s="169">
        <v>3.6700000000000003E-2</v>
      </c>
      <c r="AD194" s="169"/>
      <c r="AF194" s="57" t="s">
        <v>112</v>
      </c>
      <c r="AG194" s="57">
        <v>260</v>
      </c>
      <c r="AH194" s="57">
        <v>310</v>
      </c>
      <c r="AI194" s="57">
        <v>350</v>
      </c>
    </row>
    <row r="195" spans="19:35">
      <c r="S195" s="170"/>
      <c r="T195" s="633">
        <v>110</v>
      </c>
      <c r="U195" s="633">
        <f t="shared" si="15"/>
        <v>310.00000010000002</v>
      </c>
      <c r="V195" s="632" t="s">
        <v>877</v>
      </c>
      <c r="W195" s="632" t="s">
        <v>877</v>
      </c>
      <c r="X195" s="632" t="s">
        <v>877</v>
      </c>
      <c r="Y195" s="641">
        <f>Y194</f>
        <v>310</v>
      </c>
      <c r="Z195" s="633" t="s">
        <v>877</v>
      </c>
      <c r="AA195" s="633">
        <v>110</v>
      </c>
      <c r="AB195" s="642" t="s">
        <v>877</v>
      </c>
      <c r="AC195" s="642" t="s">
        <v>877</v>
      </c>
      <c r="AD195" s="169"/>
    </row>
    <row r="196" spans="19:35">
      <c r="S196" s="170"/>
      <c r="T196" s="166"/>
      <c r="U196" s="166"/>
      <c r="V196" s="635"/>
      <c r="W196" s="635"/>
      <c r="X196" s="635"/>
      <c r="Y196" s="166"/>
      <c r="Z196" s="166"/>
      <c r="AA196" s="166"/>
      <c r="AB196" s="166"/>
      <c r="AC196" s="166"/>
      <c r="AD196" s="169"/>
    </row>
    <row r="197" spans="19:35">
      <c r="S197" s="170"/>
      <c r="T197" s="166">
        <f>VLOOKUP(AA197,T185:AA195,1)</f>
        <v>100</v>
      </c>
      <c r="U197" s="166"/>
      <c r="V197" s="166" t="str">
        <f>VLOOKUP(Q182,U185:AB195,2)</f>
        <v>4-4-4-4-8</v>
      </c>
      <c r="W197" s="166" t="str">
        <f>VLOOKUP(Q182,U185:AB195,3)</f>
        <v>#4</v>
      </c>
      <c r="X197" s="166" t="str">
        <f>VLOOKUP(Q182,U185:AB195,4)</f>
        <v>#8</v>
      </c>
      <c r="Y197" s="166">
        <f>VLOOKUP(Q182,U185:AB195,5)</f>
        <v>85</v>
      </c>
      <c r="Z197" s="166">
        <f>VLOOKUP(Q182,U185:AB195,6)</f>
        <v>6</v>
      </c>
      <c r="AA197" s="166">
        <f>VLOOKUP(Q182,U185:AB195,7)</f>
        <v>100</v>
      </c>
      <c r="AB197" s="166">
        <f>VLOOKUP(Q182,U185:AB195,8)</f>
        <v>3830</v>
      </c>
      <c r="AC197" s="166">
        <f>VLOOKUP(Q182,U185:AC195,9)</f>
        <v>0.308</v>
      </c>
      <c r="AD197" s="169"/>
    </row>
    <row r="198" spans="19:35">
      <c r="S198" s="170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9"/>
    </row>
    <row r="199" spans="19:35">
      <c r="S199" s="170"/>
      <c r="T199" s="166"/>
      <c r="U199" s="166"/>
      <c r="V199" s="166" t="s">
        <v>916</v>
      </c>
      <c r="W199" s="166"/>
      <c r="X199" s="166"/>
      <c r="Y199" s="166"/>
      <c r="Z199" s="166"/>
      <c r="AA199" s="166" t="str">
        <f>CONCATENATE(V199,W199,X199,Y199)</f>
        <v xml:space="preserve"> MC CABLE</v>
      </c>
      <c r="AB199" s="166"/>
      <c r="AC199" s="166"/>
      <c r="AD199" s="169"/>
    </row>
    <row r="200" spans="19:35">
      <c r="S200" s="170"/>
      <c r="T200" s="166"/>
      <c r="U200" s="166"/>
      <c r="V200" s="166" t="s">
        <v>917</v>
      </c>
      <c r="W200" s="166" t="str">
        <f>W197</f>
        <v>#4</v>
      </c>
      <c r="X200" s="166" t="s">
        <v>903</v>
      </c>
      <c r="Y200" s="166" t="s">
        <v>12</v>
      </c>
      <c r="Z200" s="166" t="s">
        <v>12</v>
      </c>
      <c r="AA200" s="166" t="str">
        <f>CONCATENATE(V200,W200,X200,Y200,Z200)</f>
        <v xml:space="preserve"> 4-#4 CU  </v>
      </c>
      <c r="AB200" s="166"/>
      <c r="AC200" s="166"/>
      <c r="AD200" s="169"/>
    </row>
    <row r="201" spans="19:35">
      <c r="S201" s="170"/>
      <c r="T201" s="166"/>
      <c r="U201" s="166"/>
      <c r="V201" s="166" t="s">
        <v>901</v>
      </c>
      <c r="W201" s="166" t="str">
        <f>X197</f>
        <v>#8</v>
      </c>
      <c r="X201" s="166" t="s">
        <v>825</v>
      </c>
      <c r="Y201" s="166"/>
      <c r="Z201" s="166"/>
      <c r="AA201" s="166" t="str">
        <f>CONCATENATE(V201,W201,X201,Y201,Z201)</f>
        <v xml:space="preserve"> 1-#8 GND</v>
      </c>
      <c r="AB201" s="166"/>
      <c r="AC201" s="166"/>
      <c r="AD201" s="169"/>
    </row>
    <row r="202" spans="19:35">
      <c r="S202" s="636"/>
      <c r="T202" s="637"/>
      <c r="U202" s="637"/>
      <c r="V202" s="637"/>
      <c r="W202" s="637"/>
      <c r="X202" s="637"/>
      <c r="Y202" s="637"/>
      <c r="Z202" s="637"/>
      <c r="AA202" s="637"/>
      <c r="AB202" s="637"/>
      <c r="AC202" s="637"/>
      <c r="AD202" s="638"/>
    </row>
  </sheetData>
  <phoneticPr fontId="0" type="noConversion"/>
  <conditionalFormatting sqref="T9:AC17 Y6 Y29 Y54 Y82 X99 Y102 Y129 Y155 Y182">
    <cfRule type="expression" dxfId="89" priority="1" stopIfTrue="1">
      <formula>IF($T$19=$T6,TRUE,FALSE)</formula>
    </cfRule>
  </conditionalFormatting>
  <conditionalFormatting sqref="T32:AC41">
    <cfRule type="expression" dxfId="88" priority="2" stopIfTrue="1">
      <formula>IF($T$43=$T32,TRUE,FALSE)</formula>
    </cfRule>
  </conditionalFormatting>
  <conditionalFormatting sqref="T57:AC67">
    <cfRule type="expression" dxfId="87" priority="3" stopIfTrue="1">
      <formula>IF($T$69=$T57,TRUE,FALSE)</formula>
    </cfRule>
  </conditionalFormatting>
  <conditionalFormatting sqref="T85:AC88">
    <cfRule type="expression" dxfId="86" priority="4" stopIfTrue="1">
      <formula>IF($T$90=$T85,TRUE,FALSE)</formula>
    </cfRule>
  </conditionalFormatting>
  <conditionalFormatting sqref="T105:AC115">
    <cfRule type="expression" dxfId="85" priority="5" stopIfTrue="1">
      <formula>IF($T$117=$T105,TRUE,FALSE)</formula>
    </cfRule>
  </conditionalFormatting>
  <conditionalFormatting sqref="T132:AC142">
    <cfRule type="expression" dxfId="84" priority="6" stopIfTrue="1">
      <formula>IF($T$144=$T132,TRUE,FALSE)</formula>
    </cfRule>
  </conditionalFormatting>
  <conditionalFormatting sqref="T158:AC168">
    <cfRule type="expression" dxfId="83" priority="7" stopIfTrue="1">
      <formula>IF($T$170=$T158,TRUE,FALSE)</formula>
    </cfRule>
  </conditionalFormatting>
  <conditionalFormatting sqref="T185:AC195">
    <cfRule type="expression" dxfId="82" priority="8" stopIfTrue="1">
      <formula>IF($T$197=$T185,TRUE,FALSE)</formula>
    </cfRule>
  </conditionalFormatting>
  <conditionalFormatting sqref="C6:M13">
    <cfRule type="expression" dxfId="81" priority="9" stopIfTrue="1">
      <formula>IF($C6=1,TRUE,FALSE)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Input</vt:lpstr>
      <vt:lpstr>Sec Cable</vt:lpstr>
      <vt:lpstr>Schedule</vt:lpstr>
      <vt:lpstr>Calcs</vt:lpstr>
      <vt:lpstr>Short</vt:lpstr>
      <vt:lpstr>Output-Input</vt:lpstr>
      <vt:lpstr>Directory</vt:lpstr>
      <vt:lpstr>S-Input</vt:lpstr>
      <vt:lpstr>S-Sec Cable</vt:lpstr>
      <vt:lpstr>S-Schedule</vt:lpstr>
      <vt:lpstr>S-Calcs</vt:lpstr>
      <vt:lpstr>Short No-Xmfr</vt:lpstr>
      <vt:lpstr>Short Primary</vt:lpstr>
      <vt:lpstr>Short With Xmfr</vt:lpstr>
      <vt:lpstr>S-Output-Input</vt:lpstr>
      <vt:lpstr>S-Directory</vt:lpstr>
      <vt:lpstr>CopyPaste</vt:lpstr>
      <vt:lpstr>CAD</vt:lpstr>
      <vt:lpstr>Calcs!Print_Area</vt:lpstr>
      <vt:lpstr>Directory!Print_Area</vt:lpstr>
      <vt:lpstr>Input!Print_Area</vt:lpstr>
      <vt:lpstr>'S-Calcs'!Print_Area</vt:lpstr>
      <vt:lpstr>Schedule!Print_Area</vt:lpstr>
      <vt:lpstr>'S-Directory'!Print_Area</vt:lpstr>
      <vt:lpstr>Short!Print_Area</vt:lpstr>
      <vt:lpstr>'Short No-Xmfr'!Print_Area</vt:lpstr>
      <vt:lpstr>'Short Primary'!Print_Area</vt:lpstr>
      <vt:lpstr>'S-Input'!Print_Area</vt:lpstr>
      <vt:lpstr>'S-Schedule'!Print_Area</vt:lpstr>
    </vt:vector>
  </TitlesOfParts>
  <Company>Durand 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Copyright 2001 - Durand &amp; Associates</dc:creator>
  <cp:lastModifiedBy>DURAND</cp:lastModifiedBy>
  <cp:lastPrinted>2006-04-03T20:30:51Z</cp:lastPrinted>
  <dcterms:created xsi:type="dcterms:W3CDTF">2001-06-14T18:42:00Z</dcterms:created>
  <dcterms:modified xsi:type="dcterms:W3CDTF">2025-11-05T17:20:42Z</dcterms:modified>
</cp:coreProperties>
</file>